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parks.sharepoint.com/sites/SWPRDEmployeeShared/Shared Documents/General/Parks &amp; Rec/Business for Parks &amp; Rec/Board Meeting and Voucher Docs/2022 Meeting Docs/"/>
    </mc:Choice>
  </mc:AlternateContent>
  <xr:revisionPtr revIDLastSave="44" documentId="8_{3941541E-60ED-4908-8437-BEE472E8B84C}" xr6:coauthVersionLast="47" xr6:coauthVersionMax="47" xr10:uidLastSave="{57980EBC-F694-42C3-B258-606A520B390E}"/>
  <bookViews>
    <workbookView xWindow="-120" yWindow="-120" windowWidth="29040" windowHeight="15840" tabRatio="675" activeTab="5" xr2:uid="{00000000-000D-0000-FFFF-FFFF00000000}"/>
  </bookViews>
  <sheets>
    <sheet name="TreasurerQuad" sheetId="10" r:id="rId1"/>
    <sheet name="Overall" sheetId="17" r:id="rId2"/>
    <sheet name="Revenue" sheetId="18" r:id="rId3"/>
    <sheet name="Expense" sheetId="19" r:id="rId4"/>
    <sheet name="Fund Balances" sheetId="20" r:id="rId5"/>
    <sheet name="ChartData (2022)" sheetId="7" r:id="rId6"/>
  </sheets>
  <definedNames>
    <definedName name="_xlnm.Print_Area" localSheetId="5">'ChartData (2022)'!$A$1:$M$83</definedName>
    <definedName name="_xlnm.Print_Area" localSheetId="0">TreasurerQuad!$A$1:$AC$71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7" l="1"/>
  <c r="O18" i="7"/>
  <c r="M45" i="7" l="1"/>
  <c r="R50" i="7"/>
  <c r="R49" i="7"/>
  <c r="R51" i="7" l="1"/>
  <c r="N18" i="7"/>
  <c r="N24" i="7"/>
  <c r="L36" i="7"/>
  <c r="L45" i="7"/>
  <c r="L33" i="7"/>
  <c r="N56" i="7"/>
  <c r="K45" i="7"/>
  <c r="K36" i="7"/>
  <c r="M50" i="7" l="1"/>
  <c r="L50" i="7"/>
  <c r="K50" i="7"/>
  <c r="J50" i="7"/>
  <c r="J18" i="7"/>
  <c r="J16" i="7"/>
  <c r="G31" i="7"/>
  <c r="F31" i="7"/>
  <c r="E31" i="7"/>
  <c r="D31" i="7"/>
  <c r="C31" i="7"/>
  <c r="B31" i="7"/>
  <c r="C35" i="7"/>
  <c r="M16" i="7" l="1"/>
  <c r="J45" i="7"/>
  <c r="M72" i="7" l="1"/>
  <c r="D35" i="7" l="1"/>
  <c r="I77" i="7" l="1"/>
  <c r="I82" i="7" s="1"/>
  <c r="I45" i="7"/>
  <c r="N59" i="7"/>
  <c r="N71" i="7"/>
  <c r="N68" i="7"/>
  <c r="N65" i="7"/>
  <c r="N62" i="7"/>
  <c r="N53" i="7"/>
  <c r="N48" i="7"/>
  <c r="N45" i="7"/>
  <c r="N42" i="7"/>
  <c r="N39" i="7"/>
  <c r="N36" i="7"/>
  <c r="N33" i="7"/>
  <c r="I59" i="7"/>
  <c r="I38" i="7"/>
  <c r="J38" i="7" s="1"/>
  <c r="K38" i="7" s="1"/>
  <c r="L38" i="7" s="1"/>
  <c r="M38" i="7" s="1"/>
  <c r="H45" i="7"/>
  <c r="G71" i="7"/>
  <c r="G59" i="7"/>
  <c r="G36" i="7"/>
  <c r="G45" i="7"/>
  <c r="F59" i="7"/>
  <c r="F45" i="7"/>
  <c r="F39" i="7"/>
  <c r="F36" i="7"/>
  <c r="F33" i="7"/>
  <c r="B18" i="7"/>
  <c r="C22" i="7"/>
  <c r="B82" i="7"/>
  <c r="M82" i="7"/>
  <c r="L82" i="7"/>
  <c r="K82" i="7"/>
  <c r="J82" i="7"/>
  <c r="H82" i="7"/>
  <c r="G82" i="7"/>
  <c r="F82" i="7"/>
  <c r="E82" i="7"/>
  <c r="D82" i="7"/>
  <c r="C82" i="7"/>
  <c r="C24" i="7"/>
  <c r="D24" i="7"/>
  <c r="F24" i="7"/>
  <c r="G24" i="7"/>
  <c r="H24" i="7"/>
  <c r="I24" i="7"/>
  <c r="L24" i="7"/>
  <c r="B24" i="7"/>
  <c r="M18" i="7"/>
  <c r="N49" i="7"/>
  <c r="N46" i="7"/>
  <c r="J72" i="7"/>
  <c r="E72" i="7"/>
  <c r="K72" i="7"/>
  <c r="K24" i="7"/>
  <c r="E24" i="7"/>
  <c r="J24" i="7"/>
  <c r="M24" i="7"/>
  <c r="N37" i="7"/>
  <c r="B22" i="7"/>
  <c r="B23" i="7"/>
  <c r="B29" i="7"/>
  <c r="B35" i="7"/>
  <c r="N84" i="7"/>
  <c r="I16" i="7"/>
  <c r="C23" i="7"/>
  <c r="C29" i="7"/>
  <c r="B16" i="7"/>
  <c r="B17" i="7"/>
  <c r="N63" i="7"/>
  <c r="H16" i="7"/>
  <c r="H17" i="7" s="1"/>
  <c r="F16" i="7"/>
  <c r="M22" i="7"/>
  <c r="K16" i="7"/>
  <c r="G22" i="7"/>
  <c r="E16" i="7"/>
  <c r="C16" i="7"/>
  <c r="K22" i="7"/>
  <c r="E22" i="7"/>
  <c r="D22" i="7"/>
  <c r="J22" i="7"/>
  <c r="I22" i="7"/>
  <c r="H22" i="7"/>
  <c r="N69" i="7"/>
  <c r="B70" i="7"/>
  <c r="C70" i="7"/>
  <c r="D70" i="7"/>
  <c r="E70" i="7"/>
  <c r="F70" i="7"/>
  <c r="G70" i="7"/>
  <c r="H70" i="7"/>
  <c r="I70" i="7"/>
  <c r="J70" i="7"/>
  <c r="K70" i="7"/>
  <c r="L70" i="7"/>
  <c r="M70" i="7"/>
  <c r="B73" i="7"/>
  <c r="C73" i="7"/>
  <c r="D73" i="7"/>
  <c r="E73" i="7"/>
  <c r="F73" i="7"/>
  <c r="G73" i="7"/>
  <c r="H73" i="7"/>
  <c r="I73" i="7" s="1"/>
  <c r="J73" i="7" s="1"/>
  <c r="K73" i="7" s="1"/>
  <c r="L73" i="7" s="1"/>
  <c r="M73" i="7" s="1"/>
  <c r="N54" i="7"/>
  <c r="G18" i="7"/>
  <c r="F18" i="7"/>
  <c r="B38" i="7"/>
  <c r="C38" i="7"/>
  <c r="D38" i="7"/>
  <c r="E38" i="7"/>
  <c r="F38" i="7"/>
  <c r="G38" i="7"/>
  <c r="H38" i="7"/>
  <c r="N72" i="7"/>
  <c r="N66" i="7"/>
  <c r="L16" i="7"/>
  <c r="N57" i="7"/>
  <c r="N43" i="7"/>
  <c r="N40" i="7"/>
  <c r="N34" i="7"/>
  <c r="B55" i="7"/>
  <c r="C55" i="7"/>
  <c r="K18" i="7"/>
  <c r="I18" i="7"/>
  <c r="E18" i="7"/>
  <c r="C18" i="7"/>
  <c r="B50" i="7"/>
  <c r="C50" i="7"/>
  <c r="B44" i="7"/>
  <c r="C44" i="7"/>
  <c r="D44" i="7"/>
  <c r="E44" i="7"/>
  <c r="F44" i="7"/>
  <c r="G44" i="7"/>
  <c r="H44" i="7"/>
  <c r="I44" i="7"/>
  <c r="J44" i="7" s="1"/>
  <c r="K44" i="7" s="1"/>
  <c r="L44" i="7" s="1"/>
  <c r="M44" i="7" s="1"/>
  <c r="B41" i="7"/>
  <c r="C41" i="7"/>
  <c r="D41" i="7"/>
  <c r="E41" i="7"/>
  <c r="F41" i="7"/>
  <c r="G41" i="7"/>
  <c r="H41" i="7"/>
  <c r="I41" i="7"/>
  <c r="J41" i="7"/>
  <c r="K41" i="7" s="1"/>
  <c r="L41" i="7" s="1"/>
  <c r="M41" i="7" s="1"/>
  <c r="B64" i="7"/>
  <c r="C64" i="7"/>
  <c r="D64" i="7"/>
  <c r="B67" i="7"/>
  <c r="B58" i="7"/>
  <c r="C58" i="7"/>
  <c r="D58" i="7"/>
  <c r="E58" i="7"/>
  <c r="F58" i="7"/>
  <c r="G58" i="7"/>
  <c r="H58" i="7"/>
  <c r="I58" i="7" s="1"/>
  <c r="J58" i="7" s="1"/>
  <c r="K58" i="7" s="1"/>
  <c r="L58" i="7" s="1"/>
  <c r="M58" i="7" s="1"/>
  <c r="B10" i="7"/>
  <c r="C10" i="7"/>
  <c r="D10" i="7"/>
  <c r="E10" i="7"/>
  <c r="F10" i="7"/>
  <c r="G10" i="7"/>
  <c r="H10" i="7"/>
  <c r="I10" i="7"/>
  <c r="B3" i="7"/>
  <c r="B4" i="7"/>
  <c r="C3" i="7"/>
  <c r="D3" i="7"/>
  <c r="E3" i="7"/>
  <c r="F3" i="7"/>
  <c r="G3" i="7"/>
  <c r="H3" i="7"/>
  <c r="I3" i="7"/>
  <c r="J3" i="7"/>
  <c r="K3" i="7"/>
  <c r="L3" i="7"/>
  <c r="M3" i="7"/>
  <c r="B19" i="7"/>
  <c r="D18" i="7"/>
  <c r="H18" i="7"/>
  <c r="N60" i="7"/>
  <c r="L18" i="7"/>
  <c r="F22" i="7"/>
  <c r="F23" i="7" s="1"/>
  <c r="G16" i="7"/>
  <c r="L22" i="7"/>
  <c r="E35" i="7"/>
  <c r="F35" i="7"/>
  <c r="G35" i="7"/>
  <c r="H35" i="7"/>
  <c r="I35" i="7" s="1"/>
  <c r="D16" i="7"/>
  <c r="C67" i="7"/>
  <c r="D67" i="7"/>
  <c r="E67" i="7"/>
  <c r="F67" i="7"/>
  <c r="G67" i="7" s="1"/>
  <c r="D55" i="7"/>
  <c r="E55" i="7"/>
  <c r="F55" i="7"/>
  <c r="G55" i="7"/>
  <c r="H55" i="7"/>
  <c r="I55" i="7" s="1"/>
  <c r="B47" i="7"/>
  <c r="C47" i="7"/>
  <c r="D47" i="7"/>
  <c r="E47" i="7"/>
  <c r="F47" i="7"/>
  <c r="G47" i="7"/>
  <c r="H47" i="7"/>
  <c r="I47" i="7" s="1"/>
  <c r="J47" i="7" s="1"/>
  <c r="K47" i="7" s="1"/>
  <c r="L47" i="7" s="1"/>
  <c r="M47" i="7" s="1"/>
  <c r="C19" i="7"/>
  <c r="D19" i="7"/>
  <c r="C17" i="7"/>
  <c r="D17" i="7"/>
  <c r="C4" i="7"/>
  <c r="D4" i="7"/>
  <c r="E4" i="7"/>
  <c r="F4" i="7"/>
  <c r="G4" i="7"/>
  <c r="H4" i="7"/>
  <c r="I4" i="7"/>
  <c r="J4" i="7"/>
  <c r="K4" i="7"/>
  <c r="L4" i="7"/>
  <c r="M4" i="7"/>
  <c r="N4" i="7"/>
  <c r="B7" i="7"/>
  <c r="C7" i="7"/>
  <c r="D7" i="7"/>
  <c r="E7" i="7"/>
  <c r="F7" i="7"/>
  <c r="G7" i="7"/>
  <c r="H7" i="7"/>
  <c r="I7" i="7"/>
  <c r="J7" i="7"/>
  <c r="K7" i="7"/>
  <c r="L7" i="7"/>
  <c r="M7" i="7"/>
  <c r="J10" i="7"/>
  <c r="B61" i="7"/>
  <c r="C61" i="7"/>
  <c r="B20" i="7"/>
  <c r="B25" i="7"/>
  <c r="C25" i="7"/>
  <c r="D25" i="7"/>
  <c r="E25" i="7"/>
  <c r="F25" i="7"/>
  <c r="G25" i="7"/>
  <c r="H25" i="7"/>
  <c r="I25" i="7"/>
  <c r="J25" i="7"/>
  <c r="K25" i="7"/>
  <c r="L25" i="7"/>
  <c r="M25" i="7"/>
  <c r="C27" i="7" s="1"/>
  <c r="D27" i="7" s="1"/>
  <c r="E27" i="7" s="1"/>
  <c r="F27" i="7" s="1"/>
  <c r="G27" i="7" s="1"/>
  <c r="H27" i="7" s="1"/>
  <c r="I27" i="7" s="1"/>
  <c r="J27" i="7" s="1"/>
  <c r="K27" i="7" s="1"/>
  <c r="L27" i="7" s="1"/>
  <c r="M27" i="7" s="1"/>
  <c r="C20" i="7"/>
  <c r="C30" i="7"/>
  <c r="F2" i="7"/>
  <c r="G2" i="7"/>
  <c r="D2" i="7"/>
  <c r="B2" i="7"/>
  <c r="B5" i="7"/>
  <c r="B6" i="7"/>
  <c r="E2" i="7"/>
  <c r="C2" i="7"/>
  <c r="B30" i="7"/>
  <c r="D61" i="7"/>
  <c r="C8" i="7"/>
  <c r="B26" i="7"/>
  <c r="B28" i="7"/>
  <c r="K10" i="7"/>
  <c r="D20" i="7"/>
  <c r="E17" i="7"/>
  <c r="D30" i="7"/>
  <c r="E19" i="7"/>
  <c r="B8" i="7"/>
  <c r="C5" i="7"/>
  <c r="C6" i="7"/>
  <c r="E61" i="7"/>
  <c r="D8" i="7"/>
  <c r="B11" i="7"/>
  <c r="E20" i="7"/>
  <c r="F17" i="7"/>
  <c r="C26" i="7"/>
  <c r="C28" i="7"/>
  <c r="D23" i="7"/>
  <c r="L10" i="7"/>
  <c r="F19" i="7"/>
  <c r="E30" i="7"/>
  <c r="D5" i="7"/>
  <c r="D6" i="7"/>
  <c r="M10" i="7"/>
  <c r="D26" i="7"/>
  <c r="D28" i="7"/>
  <c r="E23" i="7"/>
  <c r="D29" i="7"/>
  <c r="F30" i="7"/>
  <c r="G19" i="7"/>
  <c r="G17" i="7"/>
  <c r="F20" i="7"/>
  <c r="C11" i="7"/>
  <c r="B12" i="7"/>
  <c r="F61" i="7"/>
  <c r="E8" i="7"/>
  <c r="E5" i="7"/>
  <c r="F5" i="7"/>
  <c r="G61" i="7"/>
  <c r="F8" i="7"/>
  <c r="F11" i="7" s="1"/>
  <c r="F12" i="7" s="1"/>
  <c r="B13" i="7"/>
  <c r="C13" i="7"/>
  <c r="D13" i="7"/>
  <c r="E13" i="7"/>
  <c r="F13" i="7"/>
  <c r="G13" i="7"/>
  <c r="H13" i="7"/>
  <c r="I13" i="7"/>
  <c r="J13" i="7"/>
  <c r="K13" i="7"/>
  <c r="L13" i="7"/>
  <c r="M13" i="7"/>
  <c r="G20" i="7"/>
  <c r="C12" i="7"/>
  <c r="D11" i="7"/>
  <c r="H19" i="7"/>
  <c r="G30" i="7"/>
  <c r="E26" i="7"/>
  <c r="E28" i="7"/>
  <c r="E29" i="7"/>
  <c r="E6" i="7"/>
  <c r="G5" i="7"/>
  <c r="F6" i="7"/>
  <c r="I19" i="7"/>
  <c r="H30" i="7"/>
  <c r="H61" i="7"/>
  <c r="I61" i="7" s="1"/>
  <c r="J61" i="7" s="1"/>
  <c r="K61" i="7" s="1"/>
  <c r="L61" i="7" s="1"/>
  <c r="M61" i="7" s="1"/>
  <c r="E11" i="7"/>
  <c r="D12" i="7"/>
  <c r="G6" i="7"/>
  <c r="E12" i="7"/>
  <c r="I30" i="7"/>
  <c r="P50" i="7" l="1"/>
  <c r="P49" i="7"/>
  <c r="P51" i="7" s="1"/>
  <c r="R53" i="7" s="1"/>
  <c r="J19" i="7"/>
  <c r="F26" i="7"/>
  <c r="F28" i="7" s="1"/>
  <c r="F29" i="7"/>
  <c r="H67" i="7"/>
  <c r="I67" i="7" s="1"/>
  <c r="J67" i="7" s="1"/>
  <c r="K67" i="7" s="1"/>
  <c r="L67" i="7" s="1"/>
  <c r="M67" i="7" s="1"/>
  <c r="G8" i="7"/>
  <c r="G11" i="7" s="1"/>
  <c r="G12" i="7" s="1"/>
  <c r="G23" i="7"/>
  <c r="G29" i="7" s="1"/>
  <c r="G26" i="7"/>
  <c r="G28" i="7" s="1"/>
  <c r="H23" i="7"/>
  <c r="I23" i="7" s="1"/>
  <c r="J55" i="7"/>
  <c r="H8" i="7"/>
  <c r="H2" i="7"/>
  <c r="H5" i="7" s="1"/>
  <c r="H6" i="7" s="1"/>
  <c r="I2" i="7"/>
  <c r="J35" i="7"/>
  <c r="H20" i="7"/>
  <c r="H31" i="7" s="1"/>
  <c r="I17" i="7"/>
  <c r="K19" i="7" l="1"/>
  <c r="J30" i="7"/>
  <c r="I8" i="7"/>
  <c r="I26" i="7"/>
  <c r="J23" i="7"/>
  <c r="J26" i="7" s="1"/>
  <c r="H29" i="7"/>
  <c r="H26" i="7"/>
  <c r="H28" i="7" s="1"/>
  <c r="K55" i="7"/>
  <c r="J8" i="7"/>
  <c r="H11" i="7"/>
  <c r="I5" i="7"/>
  <c r="I6" i="7" s="1"/>
  <c r="J17" i="7"/>
  <c r="J20" i="7" s="1"/>
  <c r="J31" i="7" s="1"/>
  <c r="I20" i="7"/>
  <c r="I31" i="7" s="1"/>
  <c r="I29" i="7"/>
  <c r="K35" i="7"/>
  <c r="J2" i="7"/>
  <c r="L19" i="7" l="1"/>
  <c r="K30" i="7"/>
  <c r="I28" i="7"/>
  <c r="K23" i="7"/>
  <c r="I11" i="7"/>
  <c r="H12" i="7"/>
  <c r="K8" i="7"/>
  <c r="L55" i="7"/>
  <c r="J5" i="7"/>
  <c r="J6" i="7" s="1"/>
  <c r="J28" i="7"/>
  <c r="K17" i="7"/>
  <c r="J29" i="7"/>
  <c r="K2" i="7"/>
  <c r="L35" i="7"/>
  <c r="M19" i="7" l="1"/>
  <c r="L30" i="7"/>
  <c r="L23" i="7"/>
  <c r="K26" i="7"/>
  <c r="L8" i="7"/>
  <c r="M55" i="7"/>
  <c r="M8" i="7" s="1"/>
  <c r="J11" i="7"/>
  <c r="I12" i="7"/>
  <c r="K5" i="7"/>
  <c r="K6" i="7" s="1"/>
  <c r="L2" i="7"/>
  <c r="M35" i="7"/>
  <c r="M2" i="7" s="1"/>
  <c r="K29" i="7"/>
  <c r="K20" i="7"/>
  <c r="L17" i="7"/>
  <c r="M17" i="7" s="1"/>
  <c r="M30" i="7" l="1"/>
  <c r="C21" i="7"/>
  <c r="D21" i="7" s="1"/>
  <c r="E21" i="7" s="1"/>
  <c r="F21" i="7" s="1"/>
  <c r="G21" i="7" s="1"/>
  <c r="H21" i="7" s="1"/>
  <c r="I21" i="7" s="1"/>
  <c r="J21" i="7" s="1"/>
  <c r="K21" i="7" s="1"/>
  <c r="L21" i="7" s="1"/>
  <c r="M21" i="7" s="1"/>
  <c r="K28" i="7"/>
  <c r="M23" i="7"/>
  <c r="M26" i="7" s="1"/>
  <c r="L26" i="7"/>
  <c r="N7" i="7"/>
  <c r="K11" i="7"/>
  <c r="J12" i="7"/>
  <c r="N2" i="7"/>
  <c r="L20" i="7"/>
  <c r="L29" i="7"/>
  <c r="L5" i="7"/>
  <c r="L28" i="7" l="1"/>
  <c r="L11" i="7"/>
  <c r="K12" i="7"/>
  <c r="M29" i="7"/>
  <c r="M20" i="7"/>
  <c r="M28" i="7" s="1"/>
  <c r="L6" i="7"/>
  <c r="M5" i="7"/>
  <c r="M6" i="7" s="1"/>
  <c r="M11" i="7" l="1"/>
  <c r="M12" i="7" s="1"/>
  <c r="L1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tc={A87B20E9-F13C-4A99-9D3E-83319C6D765C}</author>
    <author>tc={39F8FF40-0AFF-4420-84DF-F321D0A74042}</author>
    <author>Peggy</author>
    <author>tc={ACFAFE01-CC87-478E-93B1-94014C695A26}</author>
    <author>tc={94009BF2-845D-4804-9A57-8C9A58362BB1}</author>
    <author>tc={3704984B-F84A-459F-94D1-D66A9F4B447F}</author>
    <author>tc={89F35A6E-38C2-4B7D-9D0C-635321FB25B3}</author>
  </authors>
  <commentList>
    <comment ref="H36" authorId="0" shapeId="0" xr:uid="{A87B20E9-F13C-4A99-9D3E-83319C6D765C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Corrected $2440 program negative expense to revenue</t>
      </text>
    </comment>
    <comment ref="H59" authorId="1" shapeId="0" xr:uid="{39F8FF40-0AFF-4420-84DF-F321D0A74042}">
      <text>
        <t>[Threaded comment]
Your version of Excel allows you to read this threaded comment; however, any edits to it will get removed if the file is opened in a newer version of Excel. Learn more: https://go.microsoft.com/fwlink/?linkid=870924
Comment:
    Corrected $2440 program negative expense to revenue</t>
      </text>
    </comment>
    <comment ref="B76" authorId="2" shapeId="0" xr:uid="{00000000-0006-0000-0500-000001000000}">
      <text>
        <r>
          <rPr>
            <b/>
            <sz val="9"/>
            <color indexed="81"/>
            <rFont val="Tahoma"/>
            <family val="2"/>
          </rPr>
          <t>Carrie: Transferred $73,065 from M&amp;O to Reserve</t>
        </r>
      </text>
    </comment>
    <comment ref="B77" authorId="2" shapeId="0" xr:uid="{00000000-0006-0000-0500-000002000000}">
      <text>
        <r>
          <rPr>
            <b/>
            <sz val="9"/>
            <color indexed="81"/>
            <rFont val="Tahoma"/>
            <family val="2"/>
          </rPr>
          <t>Carrie: Transferred $73,065 from M&amp;O to Reserve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78" authorId="3" shapeId="0" xr:uid="{ACFAFE01-CC87-478E-93B1-94014C695A26}">
      <text>
        <t>[Threaded comment]
Your version of Excel allows you to read this threaded comment; however, any edits to it will get removed if the file is opened in a newer version of Excel. Learn more: https://go.microsoft.com/fwlink/?linkid=870924
Comment:
    Set to 2023 beginning cash required from 2022 budget 5 year projection</t>
      </text>
    </comment>
    <comment ref="F79" authorId="4" shapeId="0" xr:uid="{94009BF2-845D-4804-9A57-8C9A58362BB1}">
      <text>
        <t>[Threaded comment]
Your version of Excel allows you to read this threaded comment; however, any edits to it will get removed if the file is opened in a newer version of Excel. Learn more: https://go.microsoft.com/fwlink/?linkid=870924
Comment:
    $6,685.48 RCO Grant Reimbursement</t>
      </text>
    </comment>
    <comment ref="L80" authorId="5" shapeId="0" xr:uid="{3704984B-F84A-459F-94D1-D66A9F4B447F}">
      <text>
        <t>[Threaded comment]
Your version of Excel allows you to read this threaded comment; however, any edits to it will get removed if the file is opened in a newer version of Excel. Learn more: https://go.microsoft.com/fwlink/?linkid=870924
Comment:
    Transfers: $1741.69 to M&amp;O for reimbursement of purchases; $156270.27 to Bond Fund for Pay-Off UTGO Bond, 2020</t>
      </text>
    </comment>
    <comment ref="G81" authorId="6" shapeId="0" xr:uid="{89F35A6E-38C2-4B7D-9D0C-635321FB25B3}">
      <text>
        <t>[Threaded comment]
Your version of Excel allows you to read this threaded comment; however, any edits to it will get removed if the file is opened in a newer version of Excel. Learn more: https://go.microsoft.com/fwlink/?linkid=870924
Comment:
    $8,713.37 Bond Payments</t>
      </text>
    </comment>
    <comment ref="L81" authorId="2" shapeId="0" xr:uid="{503D599E-C55B-460E-8589-D2209310832C}">
      <text>
        <r>
          <rPr>
            <b/>
            <sz val="9"/>
            <color indexed="81"/>
            <rFont val="Tahoma"/>
            <family val="2"/>
          </rPr>
          <t>Peggy:</t>
        </r>
        <r>
          <rPr>
            <sz val="9"/>
            <color indexed="81"/>
            <rFont val="Tahoma"/>
            <family val="2"/>
          </rPr>
          <t xml:space="preserve">
Transfer in of $156,270.27 for Pay-Off of UTGO Bond, 2020</t>
        </r>
      </text>
    </comment>
    <comment ref="M81" authorId="2" shapeId="0" xr:uid="{00000000-0006-0000-0500-000003000000}">
      <text>
        <r>
          <rPr>
            <b/>
            <sz val="9"/>
            <color indexed="81"/>
            <rFont val="Tahoma"/>
            <family val="2"/>
          </rPr>
          <t xml:space="preserve">Carrie: </t>
        </r>
        <r>
          <rPr>
            <sz val="9"/>
            <color indexed="81"/>
            <rFont val="Tahoma"/>
            <family val="2"/>
          </rPr>
          <t xml:space="preserve">
$344,573.80 in bond payments, including bond pay-off.</t>
        </r>
      </text>
    </comment>
  </commentList>
</comments>
</file>

<file path=xl/sharedStrings.xml><?xml version="1.0" encoding="utf-8"?>
<sst xmlns="http://schemas.openxmlformats.org/spreadsheetml/2006/main" count="167" uniqueCount="104">
  <si>
    <t>Budget</t>
  </si>
  <si>
    <t>Actual</t>
  </si>
  <si>
    <t>TOTAL</t>
  </si>
  <si>
    <t>Reserve</t>
  </si>
  <si>
    <t>Total</t>
  </si>
  <si>
    <t>South Whidbey Parks and Recreation District</t>
  </si>
  <si>
    <t>Treasurer's Report</t>
  </si>
  <si>
    <t>Straightline</t>
  </si>
  <si>
    <t>REV BUDGET</t>
  </si>
  <si>
    <t>REV ACTUAL</t>
  </si>
  <si>
    <t>Net</t>
  </si>
  <si>
    <t>Jan</t>
  </si>
  <si>
    <t>Actuals 2007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</si>
  <si>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</si>
  <si>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</si>
  <si>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</si>
  <si>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</si>
  <si>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</si>
  <si>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</si>
  <si>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</si>
  <si>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</si>
  <si>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</si>
  <si>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</si>
  <si>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</si>
  <si>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EXP BUDGET</t>
  </si>
  <si>
    <t>EXP ACTUAL</t>
  </si>
  <si>
    <t>Exp SL</t>
  </si>
  <si>
    <t>Rev SL</t>
  </si>
  <si>
    <t>Forecast Net</t>
  </si>
  <si>
    <t>Levy Actual</t>
  </si>
  <si>
    <t>Levy Budget</t>
  </si>
  <si>
    <t>Programs Budget</t>
  </si>
  <si>
    <t>Con/Vend/Rent Budget</t>
  </si>
  <si>
    <t>Misc Budget</t>
  </si>
  <si>
    <t>Interest Budget</t>
  </si>
  <si>
    <t>Program Actual</t>
  </si>
  <si>
    <t>Con/Vend/Rent Actual</t>
  </si>
  <si>
    <t>Misc Actual</t>
  </si>
  <si>
    <t>Interest Actual</t>
  </si>
  <si>
    <t>Revenue Chart</t>
  </si>
  <si>
    <t>Levy vs. Budget</t>
  </si>
  <si>
    <t>Programs vs. Budget</t>
  </si>
  <si>
    <t>Con/Vend/Rent vs. Budget</t>
  </si>
  <si>
    <t>Misc vs. Budget</t>
  </si>
  <si>
    <t>Interest vs. Budget</t>
  </si>
  <si>
    <t>Expense Chart</t>
  </si>
  <si>
    <t>Admin Actual</t>
  </si>
  <si>
    <t>Maint Actual</t>
  </si>
  <si>
    <t>Programs Actual</t>
  </si>
  <si>
    <t>Capital Purch Actual</t>
  </si>
  <si>
    <t>Admin Budget</t>
  </si>
  <si>
    <t>Maint Budget</t>
  </si>
  <si>
    <t>Capital Purch Budget</t>
  </si>
  <si>
    <t>Admin vs. Budget</t>
  </si>
  <si>
    <t>Maint vs. Budget</t>
  </si>
  <si>
    <t>Capital Purch vs. Budget</t>
  </si>
  <si>
    <t>Summary Chart</t>
  </si>
  <si>
    <t>Fund Chart</t>
  </si>
  <si>
    <t>M&amp;O</t>
  </si>
  <si>
    <t>Net Rev Cumul. vs. Exp Cumul.</t>
  </si>
  <si>
    <t>M&amp;O Compensations</t>
  </si>
  <si>
    <t>Rev Budget Cumulative</t>
  </si>
  <si>
    <t>Rev Actual Cumulative</t>
  </si>
  <si>
    <t>Act vs. Budget Rev Cumulative</t>
  </si>
  <si>
    <t>Exp Budget Cumulative</t>
  </si>
  <si>
    <t>Exp Actual Cumulative</t>
  </si>
  <si>
    <t>Act vs. Budget Exp Cumulative</t>
  </si>
  <si>
    <t>NET</t>
  </si>
  <si>
    <t>REVENUE ACTUAL</t>
  </si>
  <si>
    <t>REVENUE BUDGET</t>
  </si>
  <si>
    <t>EXPENSE ACTUAL</t>
  </si>
  <si>
    <t>EXPENSE BUDGET</t>
  </si>
  <si>
    <t>Reserve Objective</t>
  </si>
  <si>
    <t>Loan Payments/Fees Actual</t>
  </si>
  <si>
    <t>Property (Campground)</t>
  </si>
  <si>
    <t>Bond (Park Improvement Bond 2007 (Dec 2027))</t>
  </si>
  <si>
    <t>Capital (Maxwelton Trails Bond 2020 (Dec 2024)</t>
  </si>
  <si>
    <t>Interest from M&amp;O and Reserve</t>
  </si>
  <si>
    <t>Campground Actual</t>
  </si>
  <si>
    <t>Campground Budget</t>
  </si>
  <si>
    <t>Campground vs. Budget</t>
  </si>
  <si>
    <t>Other Revenue 4-8005</t>
  </si>
  <si>
    <t>Total Admin plus 6-8006, 6-8008, 6-2950</t>
  </si>
  <si>
    <t>N/A</t>
  </si>
  <si>
    <t>Campground, misc loans</t>
  </si>
  <si>
    <t>Inclu interest, also included in m/o above</t>
  </si>
  <si>
    <t>Our total, not County</t>
  </si>
  <si>
    <t>Detail Notes</t>
  </si>
  <si>
    <t>Loan Payments/Fees Budget</t>
  </si>
  <si>
    <t>Loan Payments/Fees vs. Budget</t>
  </si>
  <si>
    <t>Levy, Timber Excise</t>
  </si>
  <si>
    <t>Concessions, rentals</t>
  </si>
  <si>
    <t>Total Maint, Inclu Salaries</t>
  </si>
  <si>
    <t>Total Programs, Including salaries, advertising, scholarship expense</t>
  </si>
  <si>
    <t>Mortgage &amp; Bank Loans 2-2100, 2-2100</t>
  </si>
  <si>
    <t xml:space="preserve"> </t>
  </si>
  <si>
    <t>Revenue</t>
  </si>
  <si>
    <t>Expense</t>
  </si>
  <si>
    <t>6-3001</t>
  </si>
  <si>
    <t>Programs, ad sales, scholarship donations</t>
  </si>
  <si>
    <t>December 2022</t>
  </si>
  <si>
    <t>Jan '23 Transfer to Reserve:</t>
  </si>
  <si>
    <t>4-7001</t>
  </si>
  <si>
    <t>6-7001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</si>
</sst>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#,##0.0_);\(#,##0.0\)"/>
  </numFmts>
  <fonts count="11" x14ac:knownFonts="1">
    <font>
      <sz val="10"/>
      <name val="Lucida Sans"/>
    </font>
    <font>
      <sz val="10"/>
      <name val="Lucida Sans"/>
      <family val="2"/>
    </font>
    <font>
      <sz val="8"/>
      <name val="Lucida Sans"/>
      <family val="2"/>
    </font>
    <font>
      <b/>
      <sz val="10"/>
      <name val="Lucida Sans"/>
      <family val="2"/>
    </font>
    <font>
      <sz val="10"/>
      <name val="Arial"/>
      <family val="2"/>
    </font>
    <font>
      <b/>
      <sz val="10"/>
      <name val="Lucida Sans"/>
      <family val="2"/>
    </font>
    <font>
      <b/>
      <sz val="16"/>
      <name val="Lucida Sans"/>
      <family val="2"/>
    </font>
    <font>
      <sz val="16"/>
      <name val="Lucida Sans"/>
      <family val="2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7" fontId="0" fillId="0" borderId="0" xfId="0" applyNumberFormat="1"/>
    <xf numFmtId="0" fontId="3" fillId="0" borderId="0" xfId="0" applyFont="1"/>
    <xf numFmtId="7" fontId="0" fillId="0" borderId="1" xfId="0" applyNumberFormat="1" applyBorder="1"/>
    <xf numFmtId="7" fontId="0" fillId="0" borderId="2" xfId="0" applyNumberFormat="1" applyBorder="1"/>
    <xf numFmtId="7" fontId="0" fillId="0" borderId="3" xfId="0" applyNumberFormat="1" applyBorder="1"/>
    <xf numFmtId="7" fontId="0" fillId="0" borderId="4" xfId="0" applyNumberFormat="1" applyBorder="1"/>
    <xf numFmtId="16" fontId="0" fillId="0" borderId="0" xfId="0" applyNumberFormat="1" applyAlignment="1">
      <alignment horizontal="center"/>
    </xf>
    <xf numFmtId="17" fontId="0" fillId="0" borderId="0" xfId="0" applyNumberFormat="1" applyAlignment="1">
      <alignment horizontal="center"/>
    </xf>
    <xf numFmtId="17" fontId="0" fillId="2" borderId="0" xfId="0" applyNumberFormat="1" applyFill="1" applyAlignment="1">
      <alignment horizontal="center"/>
    </xf>
    <xf numFmtId="0" fontId="3" fillId="3" borderId="0" xfId="0" applyFont="1" applyFill="1"/>
    <xf numFmtId="0" fontId="0" fillId="3" borderId="5" xfId="0" applyFill="1" applyBorder="1"/>
    <xf numFmtId="0" fontId="0" fillId="3" borderId="6" xfId="0" applyFill="1" applyBorder="1"/>
    <xf numFmtId="0" fontId="1" fillId="3" borderId="0" xfId="0" applyFont="1" applyFill="1"/>
    <xf numFmtId="7" fontId="0" fillId="3" borderId="7" xfId="0" applyNumberFormat="1" applyFill="1" applyBorder="1"/>
    <xf numFmtId="7" fontId="1" fillId="3" borderId="7" xfId="0" applyNumberFormat="1" applyFont="1" applyFill="1" applyBorder="1"/>
    <xf numFmtId="7" fontId="0" fillId="2" borderId="7" xfId="0" applyNumberFormat="1" applyFill="1" applyBorder="1"/>
    <xf numFmtId="0" fontId="1" fillId="2" borderId="0" xfId="0" applyFont="1" applyFill="1"/>
    <xf numFmtId="0" fontId="5" fillId="2" borderId="0" xfId="0" applyFont="1" applyFill="1"/>
    <xf numFmtId="0" fontId="0" fillId="3" borderId="0" xfId="0" applyFill="1" applyAlignment="1">
      <alignment horizontal="center"/>
    </xf>
    <xf numFmtId="0" fontId="3" fillId="4" borderId="0" xfId="0" applyFont="1" applyFill="1"/>
    <xf numFmtId="0" fontId="0" fillId="4" borderId="7" xfId="0" applyFill="1" applyBorder="1" applyAlignment="1">
      <alignment horizontal="center"/>
    </xf>
    <xf numFmtId="0" fontId="0" fillId="4" borderId="5" xfId="0" applyFill="1" applyBorder="1"/>
    <xf numFmtId="7" fontId="0" fillId="4" borderId="7" xfId="0" applyNumberFormat="1" applyFill="1" applyBorder="1"/>
    <xf numFmtId="0" fontId="0" fillId="4" borderId="6" xfId="0" applyFill="1" applyBorder="1"/>
    <xf numFmtId="0" fontId="3" fillId="5" borderId="0" xfId="0" applyFont="1" applyFill="1"/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left"/>
    </xf>
    <xf numFmtId="7" fontId="0" fillId="5" borderId="7" xfId="0" applyNumberFormat="1" applyFill="1" applyBorder="1" applyAlignment="1">
      <alignment horizontal="right"/>
    </xf>
    <xf numFmtId="7" fontId="0" fillId="6" borderId="7" xfId="0" applyNumberFormat="1" applyFill="1" applyBorder="1"/>
    <xf numFmtId="7" fontId="0" fillId="6" borderId="7" xfId="0" applyNumberFormat="1" applyFill="1" applyBorder="1" applyAlignment="1">
      <alignment horizontal="right"/>
    </xf>
    <xf numFmtId="164" fontId="0" fillId="6" borderId="7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0" fontId="6" fillId="0" borderId="0" xfId="0" applyFont="1"/>
    <xf numFmtId="0" fontId="7" fillId="0" borderId="0" xfId="0" applyFont="1"/>
    <xf numFmtId="17" fontId="6" fillId="0" borderId="0" xfId="0" quotePrefix="1" applyNumberFormat="1" applyFont="1"/>
    <xf numFmtId="7" fontId="1" fillId="6" borderId="7" xfId="0" applyNumberFormat="1" applyFont="1" applyFill="1" applyBorder="1"/>
    <xf numFmtId="0" fontId="0" fillId="6" borderId="5" xfId="0" applyFill="1" applyBorder="1"/>
    <xf numFmtId="0" fontId="0" fillId="6" borderId="6" xfId="0" applyFill="1" applyBorder="1"/>
    <xf numFmtId="0" fontId="0" fillId="6" borderId="0" xfId="0" applyFill="1"/>
    <xf numFmtId="0" fontId="0" fillId="6" borderId="7" xfId="0" applyFill="1" applyBorder="1"/>
    <xf numFmtId="0" fontId="1" fillId="5" borderId="7" xfId="0" applyFont="1" applyFill="1" applyBorder="1" applyAlignment="1">
      <alignment horizontal="left"/>
    </xf>
    <xf numFmtId="0" fontId="1" fillId="6" borderId="6" xfId="0" applyFont="1" applyFill="1" applyBorder="1"/>
    <xf numFmtId="0" fontId="1" fillId="4" borderId="6" xfId="0" applyFont="1" applyFill="1" applyBorder="1"/>
    <xf numFmtId="7" fontId="1" fillId="0" borderId="0" xfId="0" applyNumberFormat="1" applyFont="1"/>
    <xf numFmtId="0" fontId="1" fillId="0" borderId="0" xfId="0" applyFont="1"/>
    <xf numFmtId="17" fontId="1" fillId="0" borderId="0" xfId="0" applyNumberFormat="1" applyFont="1"/>
    <xf numFmtId="0" fontId="1" fillId="3" borderId="6" xfId="0" applyFont="1" applyFill="1" applyBorder="1"/>
    <xf numFmtId="0" fontId="1" fillId="2" borderId="0" xfId="0" applyFont="1" applyFill="1" applyAlignment="1">
      <alignment horizontal="left" indent="1"/>
    </xf>
    <xf numFmtId="164" fontId="0" fillId="5" borderId="7" xfId="0" applyNumberFormat="1" applyFill="1" applyBorder="1"/>
    <xf numFmtId="165" fontId="0" fillId="0" borderId="0" xfId="0" applyNumberFormat="1"/>
    <xf numFmtId="4" fontId="0" fillId="0" borderId="0" xfId="0" applyNumberFormat="1"/>
    <xf numFmtId="17" fontId="1" fillId="0" borderId="0" xfId="0" applyNumberFormat="1" applyFont="1" applyAlignment="1">
      <alignment horizontal="left"/>
    </xf>
    <xf numFmtId="7" fontId="3" fillId="7" borderId="0" xfId="0" applyNumberFormat="1" applyFont="1" applyFill="1"/>
    <xf numFmtId="164" fontId="0" fillId="0" borderId="0" xfId="0" applyNumberFormat="1"/>
    <xf numFmtId="0" fontId="1" fillId="0" borderId="0" xfId="0" quotePrefix="1" applyFont="1"/>
    <xf numFmtId="7" fontId="0" fillId="7" borderId="0" xfId="0" applyNumberFormat="1" applyFill="1"/>
    <xf numFmtId="164" fontId="8" fillId="0" borderId="0" xfId="0" applyNumberFormat="1" applyFont="1" applyFill="1"/>
    <xf numFmtId="7" fontId="0" fillId="0" borderId="0" xfId="0" applyNumberFormat="1" applyFill="1"/>
    <xf numFmtId="0" fontId="0" fillId="0" borderId="0" xfId="0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A44A"/>
      <color rgb="FF00682F"/>
      <color rgb="FFFFCCCC"/>
      <color rgb="FF990033"/>
      <color rgb="FF800000"/>
      <color rgb="FFFFFFCC"/>
      <color rgb="FFFFFFFF"/>
      <color rgb="FFFFCCFF"/>
      <color rgb="FFFF99CC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Fund Balances</a:t>
            </a:r>
          </a:p>
        </c:rich>
      </c:tx>
      <c:layout>
        <c:manualLayout>
          <c:xMode val="edge"/>
          <c:yMode val="edge"/>
          <c:x val="0.49894291799282364"/>
          <c:y val="0.106235779351110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26142985180789"/>
          <c:y val="6.9246441755756144E-2"/>
          <c:w val="0.86775818639798485"/>
          <c:h val="0.84725050916496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'ChartData (2022)'!$A$76</c:f>
              <c:strCache>
                <c:ptCount val="1"/>
                <c:pt idx="0">
                  <c:v>M&amp;O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(2022)'!$B$76:$M$76</c:f>
              <c:numCache>
                <c:formatCode>"$"#,##0.00_);\("$"#,##0.00\)</c:formatCode>
                <c:ptCount val="12"/>
                <c:pt idx="0">
                  <c:v>299464.59999999998</c:v>
                </c:pt>
                <c:pt idx="1">
                  <c:v>234665.23</c:v>
                </c:pt>
                <c:pt idx="2">
                  <c:v>258208.7</c:v>
                </c:pt>
                <c:pt idx="3">
                  <c:v>562466.5</c:v>
                </c:pt>
                <c:pt idx="4">
                  <c:v>618219.80000000005</c:v>
                </c:pt>
                <c:pt idx="5">
                  <c:v>582784.73</c:v>
                </c:pt>
                <c:pt idx="6">
                  <c:v>497281.24</c:v>
                </c:pt>
                <c:pt idx="7">
                  <c:v>361395.23</c:v>
                </c:pt>
                <c:pt idx="8">
                  <c:v>316333.08</c:v>
                </c:pt>
                <c:pt idx="9">
                  <c:v>546882.79</c:v>
                </c:pt>
                <c:pt idx="10">
                  <c:v>527516.59</c:v>
                </c:pt>
                <c:pt idx="11">
                  <c:v>392517.75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7-4F7C-B5A0-83C32A3B3E43}"/>
            </c:ext>
          </c:extLst>
        </c:ser>
        <c:ser>
          <c:idx val="1"/>
          <c:order val="1"/>
          <c:tx>
            <c:strRef>
              <c:f>'ChartData (2022)'!$A$77</c:f>
              <c:strCache>
                <c:ptCount val="1"/>
                <c:pt idx="0">
                  <c:v>Reserve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(2022)'!$B$77:$M$77</c:f>
              <c:numCache>
                <c:formatCode>"$"#,##0.00_);\("$"#,##0.00\)</c:formatCode>
                <c:ptCount val="12"/>
                <c:pt idx="0">
                  <c:v>339264.22</c:v>
                </c:pt>
                <c:pt idx="1">
                  <c:v>339443.36</c:v>
                </c:pt>
                <c:pt idx="2">
                  <c:v>339624.32999999996</c:v>
                </c:pt>
                <c:pt idx="3">
                  <c:v>339805.97</c:v>
                </c:pt>
                <c:pt idx="4">
                  <c:v>340048.8</c:v>
                </c:pt>
                <c:pt idx="5">
                  <c:v>340317.16</c:v>
                </c:pt>
                <c:pt idx="6">
                  <c:v>340644.53</c:v>
                </c:pt>
                <c:pt idx="7">
                  <c:v>341002.69</c:v>
                </c:pt>
                <c:pt idx="8">
                  <c:v>341374.27</c:v>
                </c:pt>
                <c:pt idx="9">
                  <c:v>341808.78</c:v>
                </c:pt>
                <c:pt idx="10">
                  <c:v>342338.51</c:v>
                </c:pt>
                <c:pt idx="11">
                  <c:v>342797.16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7-4F7C-B5A0-83C32A3B3E43}"/>
            </c:ext>
          </c:extLst>
        </c:ser>
        <c:ser>
          <c:idx val="2"/>
          <c:order val="2"/>
          <c:tx>
            <c:strRef>
              <c:f>'ChartData (2022)'!$A$79</c:f>
              <c:strCache>
                <c:ptCount val="1"/>
                <c:pt idx="0">
                  <c:v>Capital (Maxwelton Trails Bond 2020 (Dec 2024)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(2022)'!$B$79:$M$79</c:f>
              <c:numCache>
                <c:formatCode>"$"#,##0.00_);\("$"#,##0.00\)</c:formatCode>
                <c:ptCount val="12"/>
                <c:pt idx="0">
                  <c:v>213927.94</c:v>
                </c:pt>
                <c:pt idx="1">
                  <c:v>214017.77</c:v>
                </c:pt>
                <c:pt idx="2">
                  <c:v>214108.47</c:v>
                </c:pt>
                <c:pt idx="3">
                  <c:v>214199.48</c:v>
                </c:pt>
                <c:pt idx="4">
                  <c:v>221006.58</c:v>
                </c:pt>
                <c:pt idx="5">
                  <c:v>221140.89</c:v>
                </c:pt>
                <c:pt idx="6">
                  <c:v>221304.67</c:v>
                </c:pt>
                <c:pt idx="7">
                  <c:v>221483.59999999998</c:v>
                </c:pt>
                <c:pt idx="8">
                  <c:v>221669.08</c:v>
                </c:pt>
                <c:pt idx="9">
                  <c:v>221885.74</c:v>
                </c:pt>
                <c:pt idx="10">
                  <c:v>64072.94</c:v>
                </c:pt>
                <c:pt idx="11">
                  <c:v>64133.32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7-4F7C-B5A0-83C32A3B3E43}"/>
            </c:ext>
          </c:extLst>
        </c:ser>
        <c:ser>
          <c:idx val="3"/>
          <c:order val="3"/>
          <c:tx>
            <c:strRef>
              <c:f>'ChartData (2022)'!$A$80</c:f>
              <c:strCache>
                <c:ptCount val="1"/>
                <c:pt idx="0">
                  <c:v>Property (Campground)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(2022)'!$B$80:$M$80</c:f>
              <c:numCache>
                <c:formatCode>"$"#,##0.00</c:formatCode>
                <c:ptCount val="12"/>
                <c:pt idx="0">
                  <c:v>196649.87</c:v>
                </c:pt>
                <c:pt idx="1">
                  <c:v>196649.87</c:v>
                </c:pt>
                <c:pt idx="2">
                  <c:v>196649.87</c:v>
                </c:pt>
                <c:pt idx="3">
                  <c:v>196649.87</c:v>
                </c:pt>
                <c:pt idx="4">
                  <c:v>196649.87</c:v>
                </c:pt>
                <c:pt idx="5">
                  <c:v>196649.87</c:v>
                </c:pt>
                <c:pt idx="6">
                  <c:v>196649.87</c:v>
                </c:pt>
                <c:pt idx="7">
                  <c:v>196649.87</c:v>
                </c:pt>
                <c:pt idx="8">
                  <c:v>196140.24</c:v>
                </c:pt>
                <c:pt idx="9">
                  <c:v>196140.24</c:v>
                </c:pt>
                <c:pt idx="10">
                  <c:v>196140.24</c:v>
                </c:pt>
                <c:pt idx="11">
                  <c:v>196140.24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F7-4F7C-B5A0-83C32A3B3E43}"/>
            </c:ext>
          </c:extLst>
        </c:ser>
        <c:ser>
          <c:idx val="6"/>
          <c:order val="6"/>
          <c:tx>
            <c:strRef>
              <c:f>'ChartData (2022)'!$A$81</c:f>
              <c:strCache>
                <c:ptCount val="1"/>
                <c:pt idx="0">
                  <c:v>Bond (Park Improvement Bond 2007 (Dec 2027))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'ChartData (2022)'!$B$81:$J$81</c:f>
              <c:numCache>
                <c:formatCode>"$"#,##0.00</c:formatCode>
                <c:ptCount val="9"/>
                <c:pt idx="0">
                  <c:v>39113.279999999999</c:v>
                </c:pt>
                <c:pt idx="1">
                  <c:v>40882.31</c:v>
                </c:pt>
                <c:pt idx="2">
                  <c:v>62534.939999999995</c:v>
                </c:pt>
                <c:pt idx="3">
                  <c:v>134548.76999999999</c:v>
                </c:pt>
                <c:pt idx="4">
                  <c:v>150437.07</c:v>
                </c:pt>
                <c:pt idx="5">
                  <c:v>144440.32999999999</c:v>
                </c:pt>
                <c:pt idx="6">
                  <c:v>145380.68</c:v>
                </c:pt>
                <c:pt idx="7">
                  <c:v>146652.79999999999</c:v>
                </c:pt>
                <c:pt idx="8">
                  <c:v>150723.75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F7-4F7C-B5A0-83C32A3B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57240"/>
        <c:axId val="368329936"/>
      </c:barChart>
      <c:lineChart>
        <c:grouping val="standard"/>
        <c:varyColors val="0"/>
        <c:ser>
          <c:idx val="4"/>
          <c:order val="4"/>
          <c:tx>
            <c:strRef>
              <c:f>'ChartData (2022)'!$A$82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(2022)'!$B$82:$M$82</c:f>
              <c:numCache>
                <c:formatCode>"$"#,##0.00_);\("$"#,##0.00\)</c:formatCode>
                <c:ptCount val="12"/>
                <c:pt idx="0">
                  <c:v>1088419.9099999999</c:v>
                </c:pt>
                <c:pt idx="1">
                  <c:v>1025658.54</c:v>
                </c:pt>
                <c:pt idx="2">
                  <c:v>1071126.31</c:v>
                </c:pt>
                <c:pt idx="3">
                  <c:v>1447670.5899999999</c:v>
                </c:pt>
                <c:pt idx="4">
                  <c:v>1526362.1200000003</c:v>
                </c:pt>
                <c:pt idx="5">
                  <c:v>1485332.98</c:v>
                </c:pt>
                <c:pt idx="6">
                  <c:v>1401260.99</c:v>
                </c:pt>
                <c:pt idx="7">
                  <c:v>1267184.1900000002</c:v>
                </c:pt>
                <c:pt idx="8">
                  <c:v>1226240.4200000002</c:v>
                </c:pt>
                <c:pt idx="9">
                  <c:v>1520023.8800000001</c:v>
                </c:pt>
                <c:pt idx="10">
                  <c:v>1513982.82</c:v>
                </c:pt>
                <c:pt idx="11">
                  <c:v>1035831.0999999999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F7-4F7C-B5A0-83C32A3B3E43}"/>
            </c:ext>
          </c:extLst>
        </c:ser>
        <c:ser>
          <c:idx val="5"/>
          <c:order val="5"/>
          <c:tx>
            <c:strRef>
              <c:f>'ChartData (2022)'!$A$78</c:f>
              <c:strCache>
                <c:ptCount val="1"/>
                <c:pt idx="0">
                  <c:v>Reserve Objective</c:v>
                </c:pt>
              </c:strCache>
            </c:strRef>
          </c:tx>
          <c:marker>
            <c:symbol val="none"/>
          </c:marker>
          <c:val>
            <c:numRef>
              <c:f>'ChartData (2022)'!$B$78:$M$78</c:f>
              <c:numCache>
                <c:formatCode>"$"#,##0.00_);\("$"#,##0.00\)</c:formatCode>
                <c:ptCount val="12"/>
                <c:pt idx="0">
                  <c:v>339116</c:v>
                </c:pt>
                <c:pt idx="1">
                  <c:v>339116</c:v>
                </c:pt>
                <c:pt idx="2">
                  <c:v>339116</c:v>
                </c:pt>
                <c:pt idx="3">
                  <c:v>339116</c:v>
                </c:pt>
                <c:pt idx="4">
                  <c:v>339116</c:v>
                </c:pt>
                <c:pt idx="5">
                  <c:v>339116</c:v>
                </c:pt>
                <c:pt idx="6">
                  <c:v>339116</c:v>
                </c:pt>
                <c:pt idx="7">
                  <c:v>339116</c:v>
                </c:pt>
                <c:pt idx="8">
                  <c:v>339116</c:v>
                </c:pt>
                <c:pt idx="9">
                  <c:v>339116</c:v>
                </c:pt>
                <c:pt idx="10">
                  <c:v>339116</c:v>
                </c:pt>
                <c:pt idx="11">
                  <c:v>339116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F7-4F7C-B5A0-83C32A3B3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57240"/>
        <c:axId val="368329936"/>
      </c:lineChart>
      <c:catAx>
        <c:axId val="36935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57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331098779487752"/>
          <c:y val="0.29618287049636849"/>
          <c:w val="0.26593160068485144"/>
          <c:h val="0.221934154092589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8064871741145"/>
          <c:y val="9.2905081005986087E-2"/>
          <c:w val="0.83495145631067957"/>
          <c:h val="0.851323828920570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(2022)'!$A$19</c:f>
              <c:strCache>
                <c:ptCount val="1"/>
                <c:pt idx="0">
                  <c:v>Rev Budget Cumulative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(2022)'!$B$19:$M$19</c:f>
              <c:numCache>
                <c:formatCode>"$"#,##0.00_);\("$"#,##0.00\)</c:formatCode>
                <c:ptCount val="12"/>
                <c:pt idx="0">
                  <c:v>9588.17</c:v>
                </c:pt>
                <c:pt idx="1">
                  <c:v>51901.08</c:v>
                </c:pt>
                <c:pt idx="2">
                  <c:v>150253.99</c:v>
                </c:pt>
                <c:pt idx="3">
                  <c:v>524691.83000000007</c:v>
                </c:pt>
                <c:pt idx="4">
                  <c:v>643650.68000000005</c:v>
                </c:pt>
                <c:pt idx="5">
                  <c:v>682323.58000000007</c:v>
                </c:pt>
                <c:pt idx="6">
                  <c:v>705436.49000000011</c:v>
                </c:pt>
                <c:pt idx="7">
                  <c:v>715064.41000000015</c:v>
                </c:pt>
                <c:pt idx="8">
                  <c:v>780720.32000000018</c:v>
                </c:pt>
                <c:pt idx="9">
                  <c:v>1097743.2200000002</c:v>
                </c:pt>
                <c:pt idx="10">
                  <c:v>1178642.1300000001</c:v>
                </c:pt>
                <c:pt idx="11">
                  <c:v>1197967.0000000002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51-450D-9BB3-455F741E2E11}"/>
            </c:ext>
          </c:extLst>
        </c:ser>
        <c:ser>
          <c:idx val="3"/>
          <c:order val="1"/>
          <c:tx>
            <c:strRef>
              <c:f>'ChartData (2022)'!$A$17</c:f>
              <c:strCache>
                <c:ptCount val="1"/>
                <c:pt idx="0">
                  <c:v>Rev Actual Cumulative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(2022)'!$B$17:$M$17</c:f>
              <c:numCache>
                <c:formatCode>"$"#,##0.00_);\("$"#,##0.00\)</c:formatCode>
                <c:ptCount val="12"/>
                <c:pt idx="0">
                  <c:v>10833.73</c:v>
                </c:pt>
                <c:pt idx="1">
                  <c:v>20154.66</c:v>
                </c:pt>
                <c:pt idx="2">
                  <c:v>134014.56</c:v>
                </c:pt>
                <c:pt idx="3">
                  <c:v>531861.71</c:v>
                </c:pt>
                <c:pt idx="4">
                  <c:v>661171.17999999993</c:v>
                </c:pt>
                <c:pt idx="5">
                  <c:v>697233.0199999999</c:v>
                </c:pt>
                <c:pt idx="6">
                  <c:v>715527.96</c:v>
                </c:pt>
                <c:pt idx="7">
                  <c:v>724318.36</c:v>
                </c:pt>
                <c:pt idx="8">
                  <c:v>759577.29</c:v>
                </c:pt>
                <c:pt idx="9">
                  <c:v>1075127.5</c:v>
                </c:pt>
                <c:pt idx="10">
                  <c:v>1157333.42</c:v>
                </c:pt>
                <c:pt idx="11">
                  <c:v>1183978.8799999999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1-450D-9BB3-455F741E2E11}"/>
            </c:ext>
          </c:extLst>
        </c:ser>
        <c:ser>
          <c:idx val="8"/>
          <c:order val="2"/>
          <c:tx>
            <c:strRef>
              <c:f>'ChartData (2022)'!$A$25</c:f>
              <c:strCache>
                <c:ptCount val="1"/>
                <c:pt idx="0">
                  <c:v>Exp Budget Cumulative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(2022)'!$B$25:$M$25</c:f>
              <c:numCache>
                <c:formatCode>"$"#,##0.00_);\("$"#,##0.00\)</c:formatCode>
                <c:ptCount val="12"/>
                <c:pt idx="0">
                  <c:v>-91776.58</c:v>
                </c:pt>
                <c:pt idx="1">
                  <c:v>-173399.02000000002</c:v>
                </c:pt>
                <c:pt idx="2">
                  <c:v>-261475.23</c:v>
                </c:pt>
                <c:pt idx="3">
                  <c:v>-364684.45</c:v>
                </c:pt>
                <c:pt idx="4">
                  <c:v>-458952.9</c:v>
                </c:pt>
                <c:pt idx="5">
                  <c:v>-551566.28</c:v>
                </c:pt>
                <c:pt idx="6">
                  <c:v>-682243.32000000007</c:v>
                </c:pt>
                <c:pt idx="7">
                  <c:v>-840881.89000000013</c:v>
                </c:pt>
                <c:pt idx="8">
                  <c:v>-947063.45000000019</c:v>
                </c:pt>
                <c:pt idx="9">
                  <c:v>-1052714.1800000002</c:v>
                </c:pt>
                <c:pt idx="10">
                  <c:v>-1144619.31</c:v>
                </c:pt>
                <c:pt idx="11">
                  <c:v>-1256004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51-450D-9BB3-455F741E2E11}"/>
            </c:ext>
          </c:extLst>
        </c:ser>
        <c:ser>
          <c:idx val="9"/>
          <c:order val="3"/>
          <c:tx>
            <c:strRef>
              <c:f>'ChartData (2022)'!$A$23</c:f>
              <c:strCache>
                <c:ptCount val="1"/>
                <c:pt idx="0">
                  <c:v>Exp Actual Cumulative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(2022)'!$B$23:$M$23</c:f>
              <c:numCache>
                <c:formatCode>"$"#,##0.00_);\("$"#,##0.00\)</c:formatCode>
                <c:ptCount val="12"/>
                <c:pt idx="0">
                  <c:v>-78182.909999999989</c:v>
                </c:pt>
                <c:pt idx="1">
                  <c:v>-152079.33999999997</c:v>
                </c:pt>
                <c:pt idx="2">
                  <c:v>-242390.17999999996</c:v>
                </c:pt>
                <c:pt idx="3">
                  <c:v>-344676.43</c:v>
                </c:pt>
                <c:pt idx="4">
                  <c:v>-409209.70999999996</c:v>
                </c:pt>
                <c:pt idx="5">
                  <c:v>-503888.3</c:v>
                </c:pt>
                <c:pt idx="6">
                  <c:v>-583838.22</c:v>
                </c:pt>
                <c:pt idx="7">
                  <c:v>-728289.75</c:v>
                </c:pt>
                <c:pt idx="8">
                  <c:v>-808356.49</c:v>
                </c:pt>
                <c:pt idx="9">
                  <c:v>-892694.37</c:v>
                </c:pt>
                <c:pt idx="10">
                  <c:v>-993699.26</c:v>
                </c:pt>
                <c:pt idx="11">
                  <c:v>-1153553.3700000001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51-450D-9BB3-455F741E2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368331504"/>
        <c:axId val="368331896"/>
      </c:barChart>
      <c:lineChart>
        <c:grouping val="standard"/>
        <c:varyColors val="0"/>
        <c:ser>
          <c:idx val="4"/>
          <c:order val="4"/>
          <c:tx>
            <c:strRef>
              <c:f>'ChartData (2022)'!$A$30</c:f>
              <c:strCache>
                <c:ptCount val="1"/>
                <c:pt idx="0">
                  <c:v>Forecast Net</c:v>
                </c:pt>
              </c:strCache>
            </c:strRef>
          </c:tx>
          <c:spPr>
            <a:ln w="25400">
              <a:solidFill>
                <a:srgbClr val="00682F"/>
              </a:solidFill>
              <a:prstDash val="solid"/>
            </a:ln>
          </c:spPr>
          <c:marker>
            <c:symbol val="none"/>
          </c:marker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(2022)'!$B$30:$M$30</c:f>
              <c:numCache>
                <c:formatCode>"$"#,##0.00_);\("$"#,##0.00\)</c:formatCode>
                <c:ptCount val="12"/>
                <c:pt idx="0">
                  <c:v>-82188.41</c:v>
                </c:pt>
                <c:pt idx="1">
                  <c:v>-121497.94000000002</c:v>
                </c:pt>
                <c:pt idx="2">
                  <c:v>-111221.24000000002</c:v>
                </c:pt>
                <c:pt idx="3">
                  <c:v>160007.38000000006</c:v>
                </c:pt>
                <c:pt idx="4">
                  <c:v>184697.78000000003</c:v>
                </c:pt>
                <c:pt idx="5">
                  <c:v>130757.30000000005</c:v>
                </c:pt>
                <c:pt idx="6">
                  <c:v>23193.170000000042</c:v>
                </c:pt>
                <c:pt idx="7">
                  <c:v>-125817.47999999998</c:v>
                </c:pt>
                <c:pt idx="8">
                  <c:v>-166343.13</c:v>
                </c:pt>
                <c:pt idx="9">
                  <c:v>45029.040000000037</c:v>
                </c:pt>
                <c:pt idx="10">
                  <c:v>34022.820000000065</c:v>
                </c:pt>
                <c:pt idx="11">
                  <c:v>-58036.999999999767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51-450D-9BB3-455F741E2E11}"/>
            </c:ext>
          </c:extLst>
        </c:ser>
        <c:ser>
          <c:idx val="0"/>
          <c:order val="5"/>
          <c:tx>
            <c:strRef>
              <c:f>'ChartData (2022)'!$A$29</c:f>
              <c:strCache>
                <c:ptCount val="1"/>
                <c:pt idx="0">
                  <c:v>NET</c:v>
                </c:pt>
              </c:strCache>
            </c:strRef>
          </c:tx>
          <c:spPr>
            <a:ln>
              <a:solidFill>
                <a:srgbClr val="00A44A"/>
              </a:solidFill>
            </a:ln>
          </c:spPr>
          <c:marker>
            <c:symbol val="none"/>
          </c:marker>
          <c:val>
            <c:numRef>
              <c:f>'ChartData (2022)'!$B$29:$M$29</c:f>
              <c:numCache>
                <c:formatCode>"$"#,##0.00_);\("$"#,##0.00\)</c:formatCode>
                <c:ptCount val="12"/>
                <c:pt idx="0">
                  <c:v>-67349.179999999993</c:v>
                </c:pt>
                <c:pt idx="1">
                  <c:v>-131924.67999999996</c:v>
                </c:pt>
                <c:pt idx="2">
                  <c:v>-108375.61999999997</c:v>
                </c:pt>
                <c:pt idx="3">
                  <c:v>187185.27999999997</c:v>
                </c:pt>
                <c:pt idx="4">
                  <c:v>251961.46999999997</c:v>
                </c:pt>
                <c:pt idx="5">
                  <c:v>193344.71999999991</c:v>
                </c:pt>
                <c:pt idx="6">
                  <c:v>131689.74</c:v>
                </c:pt>
                <c:pt idx="7">
                  <c:v>-3971.390000000014</c:v>
                </c:pt>
                <c:pt idx="8">
                  <c:v>-48779.199999999953</c:v>
                </c:pt>
                <c:pt idx="9">
                  <c:v>182433.13</c:v>
                </c:pt>
                <c:pt idx="10">
                  <c:v>163634.15999999992</c:v>
                </c:pt>
                <c:pt idx="11">
                  <c:v>30425.509999999776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51-450D-9BB3-455F741E2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31504"/>
        <c:axId val="368331896"/>
      </c:lineChart>
      <c:catAx>
        <c:axId val="36833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Revenue</a:t>
                </a:r>
              </a:p>
            </c:rich>
          </c:tx>
          <c:layout>
            <c:manualLayout>
              <c:xMode val="edge"/>
              <c:yMode val="edge"/>
              <c:x val="0.38942865770097318"/>
              <c:y val="0.1411116150230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8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68331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Expenses</a:t>
                </a:r>
              </a:p>
            </c:rich>
          </c:tx>
          <c:layout>
            <c:manualLayout>
              <c:xMode val="edge"/>
              <c:yMode val="edge"/>
              <c:x val="0.38144381763243679"/>
              <c:y val="0.6691147136019762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180619775887"/>
          <c:y val="0.10392466167358488"/>
          <c:w val="0.18958873946066473"/>
          <c:h val="0.16042579546462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vs. Budget
Cumulative</a:t>
            </a:r>
          </a:p>
        </c:rich>
      </c:tx>
      <c:layout>
        <c:manualLayout>
          <c:xMode val="edge"/>
          <c:yMode val="edge"/>
          <c:x val="0.4565331121004042"/>
          <c:y val="8.25843376420347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1898428053205"/>
          <c:y val="7.3619778924980284E-2"/>
          <c:w val="0.85368802902055618"/>
          <c:h val="0.834357494483109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(2022)'!$A$35</c:f>
              <c:strCache>
                <c:ptCount val="1"/>
                <c:pt idx="0">
                  <c:v>Levy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(2022)'!$B$35:$M$35</c:f>
              <c:numCache>
                <c:formatCode>"$"#,##0.00_);\("$"#,##0.00\)</c:formatCode>
                <c:ptCount val="12"/>
                <c:pt idx="0">
                  <c:v>-1255.0700000000006</c:v>
                </c:pt>
                <c:pt idx="1">
                  <c:v>-28919.119999999999</c:v>
                </c:pt>
                <c:pt idx="2">
                  <c:v>-12949.060000000001</c:v>
                </c:pt>
                <c:pt idx="3">
                  <c:v>-15187.789999999983</c:v>
                </c:pt>
                <c:pt idx="4">
                  <c:v>-2510.4899999999798</c:v>
                </c:pt>
                <c:pt idx="5">
                  <c:v>-546.3199999999797</c:v>
                </c:pt>
                <c:pt idx="6">
                  <c:v>-1869.70999999998</c:v>
                </c:pt>
                <c:pt idx="7">
                  <c:v>-1402.6899999999796</c:v>
                </c:pt>
                <c:pt idx="8">
                  <c:v>-2481.9699999999784</c:v>
                </c:pt>
                <c:pt idx="9">
                  <c:v>1897.1100000000379</c:v>
                </c:pt>
                <c:pt idx="10">
                  <c:v>6350.5400000000454</c:v>
                </c:pt>
                <c:pt idx="11">
                  <c:v>4992.1000000000458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A-491F-84E1-1D89AD46947D}"/>
            </c:ext>
          </c:extLst>
        </c:ser>
        <c:ser>
          <c:idx val="5"/>
          <c:order val="1"/>
          <c:tx>
            <c:strRef>
              <c:f>'ChartData (2022)'!$A$38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A44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(2022)'!$B$38:$M$38</c:f>
              <c:numCache>
                <c:formatCode>"$"#,##0.00_);\("$"#,##0.00\)</c:formatCode>
                <c:ptCount val="12"/>
                <c:pt idx="0">
                  <c:v>2593.7599999999998</c:v>
                </c:pt>
                <c:pt idx="1">
                  <c:v>-2754.15</c:v>
                </c:pt>
                <c:pt idx="2">
                  <c:v>-4127.07</c:v>
                </c:pt>
                <c:pt idx="3">
                  <c:v>20314.09</c:v>
                </c:pt>
                <c:pt idx="4">
                  <c:v>17514.969999999998</c:v>
                </c:pt>
                <c:pt idx="5">
                  <c:v>12937.059999999998</c:v>
                </c:pt>
                <c:pt idx="6">
                  <c:v>8074.3999999999978</c:v>
                </c:pt>
                <c:pt idx="7">
                  <c:v>6179.5299999999979</c:v>
                </c:pt>
                <c:pt idx="8">
                  <c:v>817.01999999999771</c:v>
                </c:pt>
                <c:pt idx="9">
                  <c:v>2644.5699999999974</c:v>
                </c:pt>
                <c:pt idx="10">
                  <c:v>6528.9599999999973</c:v>
                </c:pt>
                <c:pt idx="11">
                  <c:v>22429.589999999997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8A-491F-84E1-1D89AD46947D}"/>
            </c:ext>
          </c:extLst>
        </c:ser>
        <c:ser>
          <c:idx val="8"/>
          <c:order val="2"/>
          <c:tx>
            <c:strRef>
              <c:f>'ChartData (2022)'!$A$41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(2022)'!$B$41:$M$41</c:f>
              <c:numCache>
                <c:formatCode>"$"#,##0.00_);\("$"#,##0.00\)</c:formatCode>
                <c:ptCount val="12"/>
                <c:pt idx="0">
                  <c:v>-65.010000000000005</c:v>
                </c:pt>
                <c:pt idx="1">
                  <c:v>-10.010000000000005</c:v>
                </c:pt>
                <c:pt idx="2">
                  <c:v>999.99</c:v>
                </c:pt>
                <c:pt idx="3">
                  <c:v>1809.99</c:v>
                </c:pt>
                <c:pt idx="4">
                  <c:v>2237.4899999999998</c:v>
                </c:pt>
                <c:pt idx="5">
                  <c:v>1942.4999999999998</c:v>
                </c:pt>
                <c:pt idx="6">
                  <c:v>2877.5</c:v>
                </c:pt>
                <c:pt idx="7">
                  <c:v>3157.5</c:v>
                </c:pt>
                <c:pt idx="8">
                  <c:v>3282.5</c:v>
                </c:pt>
                <c:pt idx="9">
                  <c:v>3087.5</c:v>
                </c:pt>
                <c:pt idx="10">
                  <c:v>3282.5</c:v>
                </c:pt>
                <c:pt idx="11">
                  <c:v>3312.5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8A-491F-84E1-1D89AD46947D}"/>
            </c:ext>
          </c:extLst>
        </c:ser>
        <c:ser>
          <c:idx val="11"/>
          <c:order val="3"/>
          <c:tx>
            <c:strRef>
              <c:f>'ChartData (2022)'!$A$44</c:f>
              <c:strCache>
                <c:ptCount val="1"/>
                <c:pt idx="0">
                  <c:v>Misc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(2022)'!$B$44:$M$44</c:f>
              <c:numCache>
                <c:formatCode>"$"#,##0.00_);\("$"#,##0.00\)</c:formatCode>
                <c:ptCount val="12"/>
                <c:pt idx="0">
                  <c:v>-0.01</c:v>
                </c:pt>
                <c:pt idx="1">
                  <c:v>-0.01</c:v>
                </c:pt>
                <c:pt idx="2">
                  <c:v>-25</c:v>
                </c:pt>
                <c:pt idx="3">
                  <c:v>440.1</c:v>
                </c:pt>
                <c:pt idx="4">
                  <c:v>440.1</c:v>
                </c:pt>
                <c:pt idx="5">
                  <c:v>429.41</c:v>
                </c:pt>
                <c:pt idx="6">
                  <c:v>429.41</c:v>
                </c:pt>
                <c:pt idx="7">
                  <c:v>274.41000000000003</c:v>
                </c:pt>
                <c:pt idx="8">
                  <c:v>274.41000000000003</c:v>
                </c:pt>
                <c:pt idx="9">
                  <c:v>274.41000000000003</c:v>
                </c:pt>
                <c:pt idx="10">
                  <c:v>274.41000000000003</c:v>
                </c:pt>
                <c:pt idx="11">
                  <c:v>274.41000000000003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8A-491F-84E1-1D89AD46947D}"/>
            </c:ext>
          </c:extLst>
        </c:ser>
        <c:ser>
          <c:idx val="17"/>
          <c:order val="4"/>
          <c:tx>
            <c:strRef>
              <c:f>'ChartData (2022)'!$A$47</c:f>
              <c:strCache>
                <c:ptCount val="1"/>
                <c:pt idx="0">
                  <c:v>Interest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(2022)'!$B$47:$M$47</c:f>
              <c:numCache>
                <c:formatCode>"$"#,##0.00_);\("$"#,##0.00\)</c:formatCode>
                <c:ptCount val="12"/>
                <c:pt idx="0">
                  <c:v>-28.110000000000014</c:v>
                </c:pt>
                <c:pt idx="1">
                  <c:v>-63.129999999999995</c:v>
                </c:pt>
                <c:pt idx="2">
                  <c:v>-138.29000000000002</c:v>
                </c:pt>
                <c:pt idx="3">
                  <c:v>-206.51000000000002</c:v>
                </c:pt>
                <c:pt idx="4">
                  <c:v>-161.56999999999996</c:v>
                </c:pt>
                <c:pt idx="5">
                  <c:v>146.79000000000005</c:v>
                </c:pt>
                <c:pt idx="6">
                  <c:v>579.87</c:v>
                </c:pt>
                <c:pt idx="7">
                  <c:v>1045.1999999999998</c:v>
                </c:pt>
                <c:pt idx="8">
                  <c:v>1403.0099999999998</c:v>
                </c:pt>
                <c:pt idx="9">
                  <c:v>1788.6899999999998</c:v>
                </c:pt>
                <c:pt idx="10">
                  <c:v>2432.88</c:v>
                </c:pt>
                <c:pt idx="11">
                  <c:v>3051.28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8A-491F-84E1-1D89AD46947D}"/>
            </c:ext>
          </c:extLst>
        </c:ser>
        <c:ser>
          <c:idx val="1"/>
          <c:order val="6"/>
          <c:tx>
            <c:strRef>
              <c:f>'ChartData (2022)'!$A$50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(2022)'!$B$50:$M$50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-24438</c:v>
                </c:pt>
                <c:pt idx="9">
                  <c:v>-32308</c:v>
                </c:pt>
                <c:pt idx="10">
                  <c:v>-40178</c:v>
                </c:pt>
                <c:pt idx="11">
                  <c:v>-48048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2-46B5-8D74-7C281FD8F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7976"/>
        <c:axId val="368324448"/>
      </c:barChart>
      <c:lineChart>
        <c:grouping val="standard"/>
        <c:varyColors val="0"/>
        <c:ser>
          <c:idx val="0"/>
          <c:order val="5"/>
          <c:tx>
            <c:strRef>
              <c:f>'ChartData (2022)'!$A$20</c:f>
              <c:strCache>
                <c:ptCount val="1"/>
                <c:pt idx="0">
                  <c:v>Act vs. Budget Rev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(2022)'!$B$20:$M$20</c:f>
              <c:numCache>
                <c:formatCode>"$"#,##0.00_);\("$"#,##0.00\)</c:formatCode>
                <c:ptCount val="12"/>
                <c:pt idx="0">
                  <c:v>1245.5599999999995</c:v>
                </c:pt>
                <c:pt idx="1">
                  <c:v>-31746.420000000002</c:v>
                </c:pt>
                <c:pt idx="2">
                  <c:v>-16239.429999999993</c:v>
                </c:pt>
                <c:pt idx="3">
                  <c:v>7169.8799999998882</c:v>
                </c:pt>
                <c:pt idx="4">
                  <c:v>17520.499999999884</c:v>
                </c:pt>
                <c:pt idx="5">
                  <c:v>14909.439999999828</c:v>
                </c:pt>
                <c:pt idx="6">
                  <c:v>10091.469999999856</c:v>
                </c:pt>
                <c:pt idx="7">
                  <c:v>9253.949999999837</c:v>
                </c:pt>
                <c:pt idx="8">
                  <c:v>-21143.030000000144</c:v>
                </c:pt>
                <c:pt idx="9">
                  <c:v>-22615.720000000205</c:v>
                </c:pt>
                <c:pt idx="10">
                  <c:v>-21308.710000000196</c:v>
                </c:pt>
                <c:pt idx="11">
                  <c:v>-13988.120000000345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88A-491F-84E1-1D89AD469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7976"/>
        <c:axId val="368324448"/>
      </c:lineChart>
      <c:catAx>
        <c:axId val="36832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37157766790674"/>
          <c:y val="8.456233053512939E-2"/>
          <c:w val="0.15153078013789389"/>
          <c:h val="0.21459074640463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80"/>
              <a:t>Expenses vs. Budget
Cumulative</a:t>
            </a:r>
          </a:p>
        </c:rich>
      </c:tx>
      <c:layout>
        <c:manualLayout>
          <c:xMode val="edge"/>
          <c:yMode val="edge"/>
          <c:x val="0.39936056352204458"/>
          <c:y val="9.0957268955241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6624525916561"/>
          <c:y val="9.0349166562225844E-2"/>
          <c:w val="0.86725663716814161"/>
          <c:h val="0.815195889209174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(2022)'!$A$55</c:f>
              <c:strCache>
                <c:ptCount val="1"/>
                <c:pt idx="0">
                  <c:v>Admin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(2022)'!$B$55:$M$55</c:f>
              <c:numCache>
                <c:formatCode>"$"#,##0.00_);\("$"#,##0.00\)</c:formatCode>
                <c:ptCount val="12"/>
                <c:pt idx="0">
                  <c:v>-2782.0799999999945</c:v>
                </c:pt>
                <c:pt idx="1">
                  <c:v>-664.44999999999709</c:v>
                </c:pt>
                <c:pt idx="2">
                  <c:v>376.01000000000204</c:v>
                </c:pt>
                <c:pt idx="3">
                  <c:v>-30135.97</c:v>
                </c:pt>
                <c:pt idx="4">
                  <c:v>-17098.079999999998</c:v>
                </c:pt>
                <c:pt idx="5">
                  <c:v>-14519.029999999999</c:v>
                </c:pt>
                <c:pt idx="6">
                  <c:v>-8552.75</c:v>
                </c:pt>
                <c:pt idx="7">
                  <c:v>-5916.8899999999994</c:v>
                </c:pt>
                <c:pt idx="8">
                  <c:v>-9263.0000000000036</c:v>
                </c:pt>
                <c:pt idx="9">
                  <c:v>-7050.8600000000042</c:v>
                </c:pt>
                <c:pt idx="10">
                  <c:v>-11737.400000000009</c:v>
                </c:pt>
                <c:pt idx="11">
                  <c:v>3096.4999999999927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A-4F79-BA62-5EB9FB761929}"/>
            </c:ext>
          </c:extLst>
        </c:ser>
        <c:ser>
          <c:idx val="5"/>
          <c:order val="1"/>
          <c:tx>
            <c:strRef>
              <c:f>'ChartData (2022)'!$A$58</c:f>
              <c:strCache>
                <c:ptCount val="1"/>
                <c:pt idx="0">
                  <c:v>Maint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(2022)'!$B$58:$M$58</c:f>
              <c:numCache>
                <c:formatCode>"$"#,##0.00_);\("$"#,##0.00\)</c:formatCode>
                <c:ptCount val="12"/>
                <c:pt idx="0">
                  <c:v>6869.369999999999</c:v>
                </c:pt>
                <c:pt idx="1">
                  <c:v>14528.8</c:v>
                </c:pt>
                <c:pt idx="2">
                  <c:v>12329.93</c:v>
                </c:pt>
                <c:pt idx="3">
                  <c:v>16999.98</c:v>
                </c:pt>
                <c:pt idx="4">
                  <c:v>28952.15</c:v>
                </c:pt>
                <c:pt idx="5">
                  <c:v>32210.59</c:v>
                </c:pt>
                <c:pt idx="6">
                  <c:v>43803.270000000004</c:v>
                </c:pt>
                <c:pt idx="7">
                  <c:v>49943.54</c:v>
                </c:pt>
                <c:pt idx="8">
                  <c:v>53960.81</c:v>
                </c:pt>
                <c:pt idx="9">
                  <c:v>57429.19</c:v>
                </c:pt>
                <c:pt idx="10">
                  <c:v>65579.48000000001</c:v>
                </c:pt>
                <c:pt idx="11">
                  <c:v>42492.390000000014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BA-4F79-BA62-5EB9FB761929}"/>
            </c:ext>
          </c:extLst>
        </c:ser>
        <c:ser>
          <c:idx val="8"/>
          <c:order val="2"/>
          <c:tx>
            <c:strRef>
              <c:f>'ChartData (2022)'!$A$61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A44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(2022)'!$B$61:$M$61</c:f>
              <c:numCache>
                <c:formatCode>"$"#,##0.00_);\("$"#,##0.00\)</c:formatCode>
                <c:ptCount val="12"/>
                <c:pt idx="0">
                  <c:v>3531.3799999999992</c:v>
                </c:pt>
                <c:pt idx="1">
                  <c:v>5108.08</c:v>
                </c:pt>
                <c:pt idx="2">
                  <c:v>6728.59</c:v>
                </c:pt>
                <c:pt idx="3">
                  <c:v>9244.01</c:v>
                </c:pt>
                <c:pt idx="4">
                  <c:v>17588.21</c:v>
                </c:pt>
                <c:pt idx="5">
                  <c:v>-2341.7700000000004</c:v>
                </c:pt>
                <c:pt idx="6">
                  <c:v>13434.709999999995</c:v>
                </c:pt>
                <c:pt idx="7">
                  <c:v>11137.109999999997</c:v>
                </c:pt>
                <c:pt idx="8">
                  <c:v>16599.28</c:v>
                </c:pt>
                <c:pt idx="9">
                  <c:v>18386.61</c:v>
                </c:pt>
                <c:pt idx="10">
                  <c:v>14336.5</c:v>
                </c:pt>
                <c:pt idx="11">
                  <c:v>1451.0699999999997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BA-4F79-BA62-5EB9FB761929}"/>
            </c:ext>
          </c:extLst>
        </c:ser>
        <c:ser>
          <c:idx val="11"/>
          <c:order val="3"/>
          <c:tx>
            <c:strRef>
              <c:f>'ChartData (2022)'!$A$64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(2022)'!$B$64:$M$64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BA-4F79-BA62-5EB9FB761929}"/>
            </c:ext>
          </c:extLst>
        </c:ser>
        <c:ser>
          <c:idx val="14"/>
          <c:order val="4"/>
          <c:tx>
            <c:strRef>
              <c:f>'ChartData (2022)'!$A$67</c:f>
              <c:strCache>
                <c:ptCount val="1"/>
                <c:pt idx="0">
                  <c:v>Capital Purch vs. Budget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(2022)'!$B$67:$M$67</c:f>
              <c:numCache>
                <c:formatCode>"$"#,##0.00_);\("$"#,##0.00\)</c:formatCode>
                <c:ptCount val="12"/>
                <c:pt idx="0">
                  <c:v>5975</c:v>
                </c:pt>
                <c:pt idx="1">
                  <c:v>11950</c:v>
                </c:pt>
                <c:pt idx="2">
                  <c:v>17925</c:v>
                </c:pt>
                <c:pt idx="3">
                  <c:v>23900</c:v>
                </c:pt>
                <c:pt idx="4">
                  <c:v>29875</c:v>
                </c:pt>
                <c:pt idx="5">
                  <c:v>35850</c:v>
                </c:pt>
                <c:pt idx="6">
                  <c:v>41825</c:v>
                </c:pt>
                <c:pt idx="7">
                  <c:v>47800</c:v>
                </c:pt>
                <c:pt idx="8">
                  <c:v>53775</c:v>
                </c:pt>
                <c:pt idx="9">
                  <c:v>59750</c:v>
                </c:pt>
                <c:pt idx="10">
                  <c:v>43366.6</c:v>
                </c:pt>
                <c:pt idx="11">
                  <c:v>7809.1999999999971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BA-4F79-BA62-5EB9FB761929}"/>
            </c:ext>
          </c:extLst>
        </c:ser>
        <c:ser>
          <c:idx val="17"/>
          <c:order val="5"/>
          <c:tx>
            <c:strRef>
              <c:f>'ChartData (2022)'!$A$73</c:f>
              <c:strCache>
                <c:ptCount val="1"/>
                <c:pt idx="0">
                  <c:v>Loan Payments/Fees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(2022)'!$B$73:$M$73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-9602.75</c:v>
                </c:pt>
                <c:pt idx="2">
                  <c:v>-18274.48</c:v>
                </c:pt>
                <c:pt idx="3">
                  <c:v>0</c:v>
                </c:pt>
                <c:pt idx="4">
                  <c:v>-9574.09</c:v>
                </c:pt>
                <c:pt idx="5">
                  <c:v>-3521.8099999999995</c:v>
                </c:pt>
                <c:pt idx="6">
                  <c:v>24.870000000000346</c:v>
                </c:pt>
                <c:pt idx="7">
                  <c:v>-6111.619999999999</c:v>
                </c:pt>
                <c:pt idx="8">
                  <c:v>24.8700000000008</c:v>
                </c:pt>
                <c:pt idx="9">
                  <c:v>24.8700000000008</c:v>
                </c:pt>
                <c:pt idx="10">
                  <c:v>24.8700000000008</c:v>
                </c:pt>
                <c:pt idx="11">
                  <c:v>381.47000000000082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BA-4F79-BA62-5EB9FB761929}"/>
            </c:ext>
          </c:extLst>
        </c:ser>
        <c:ser>
          <c:idx val="1"/>
          <c:order val="7"/>
          <c:tx>
            <c:strRef>
              <c:f>'ChartData (2022)'!$A$70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(2022)'!$B$70:$M$70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7870</c:v>
                </c:pt>
                <c:pt idx="7">
                  <c:v>15740</c:v>
                </c:pt>
                <c:pt idx="8">
                  <c:v>23610</c:v>
                </c:pt>
                <c:pt idx="9">
                  <c:v>31480</c:v>
                </c:pt>
                <c:pt idx="10">
                  <c:v>39350</c:v>
                </c:pt>
                <c:pt idx="11">
                  <c:v>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5D-4579-BB62-C0A43ED12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5624"/>
        <c:axId val="368326016"/>
      </c:barChart>
      <c:lineChart>
        <c:grouping val="standard"/>
        <c:varyColors val="0"/>
        <c:ser>
          <c:idx val="0"/>
          <c:order val="6"/>
          <c:tx>
            <c:strRef>
              <c:f>'ChartData (2022)'!$A$26</c:f>
              <c:strCache>
                <c:ptCount val="1"/>
                <c:pt idx="0">
                  <c:v>Act vs. Budget Exp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'ChartData (2022)'!$B$26:$M$26</c:f>
              <c:numCache>
                <c:formatCode>"$"#,##0.00_);\("$"#,##0.00\)</c:formatCode>
                <c:ptCount val="12"/>
                <c:pt idx="0">
                  <c:v>13593.670000000013</c:v>
                </c:pt>
                <c:pt idx="1">
                  <c:v>21319.680000000051</c:v>
                </c:pt>
                <c:pt idx="2">
                  <c:v>19085.050000000047</c:v>
                </c:pt>
                <c:pt idx="3">
                  <c:v>20008.020000000019</c:v>
                </c:pt>
                <c:pt idx="4">
                  <c:v>49743.190000000061</c:v>
                </c:pt>
                <c:pt idx="5">
                  <c:v>47677.98000000004</c:v>
                </c:pt>
                <c:pt idx="6">
                  <c:v>98405.100000000093</c:v>
                </c:pt>
                <c:pt idx="7">
                  <c:v>112592.14000000013</c:v>
                </c:pt>
                <c:pt idx="8">
                  <c:v>138706.9600000002</c:v>
                </c:pt>
                <c:pt idx="9">
                  <c:v>160019.81000000017</c:v>
                </c:pt>
                <c:pt idx="10">
                  <c:v>150920.05000000005</c:v>
                </c:pt>
                <c:pt idx="11">
                  <c:v>102450.62999999989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BBA-4F79-BA62-5EB9FB761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5624"/>
        <c:axId val="368326016"/>
      </c:lineChart>
      <c:catAx>
        <c:axId val="36832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377601646452752"/>
          <c:y val="0.10982008437064179"/>
          <c:w val="0.2008749616957779"/>
          <c:h val="0.244841870013773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28155339805825"/>
          <c:y val="7.128309572301425E-2"/>
          <c:w val="0.83495145631067957"/>
          <c:h val="0.851323828920570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(2022)'!$A$19</c:f>
              <c:strCache>
                <c:ptCount val="1"/>
                <c:pt idx="0">
                  <c:v>Rev Budget Cumulative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(2022)'!$B$19:$M$19</c:f>
              <c:numCache>
                <c:formatCode>"$"#,##0.00_);\("$"#,##0.00\)</c:formatCode>
                <c:ptCount val="12"/>
                <c:pt idx="0">
                  <c:v>9588.17</c:v>
                </c:pt>
                <c:pt idx="1">
                  <c:v>51901.08</c:v>
                </c:pt>
                <c:pt idx="2">
                  <c:v>150253.99</c:v>
                </c:pt>
                <c:pt idx="3">
                  <c:v>524691.83000000007</c:v>
                </c:pt>
                <c:pt idx="4">
                  <c:v>643650.68000000005</c:v>
                </c:pt>
                <c:pt idx="5">
                  <c:v>682323.58000000007</c:v>
                </c:pt>
                <c:pt idx="6">
                  <c:v>705436.49000000011</c:v>
                </c:pt>
                <c:pt idx="7">
                  <c:v>715064.41000000015</c:v>
                </c:pt>
                <c:pt idx="8">
                  <c:v>780720.32000000018</c:v>
                </c:pt>
                <c:pt idx="9">
                  <c:v>1097743.2200000002</c:v>
                </c:pt>
                <c:pt idx="10">
                  <c:v>1178642.1300000001</c:v>
                </c:pt>
                <c:pt idx="11">
                  <c:v>1197967.0000000002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C-4430-870C-B1E5F0D959CD}"/>
            </c:ext>
          </c:extLst>
        </c:ser>
        <c:ser>
          <c:idx val="3"/>
          <c:order val="1"/>
          <c:tx>
            <c:strRef>
              <c:f>'ChartData (2022)'!$A$17</c:f>
              <c:strCache>
                <c:ptCount val="1"/>
                <c:pt idx="0">
                  <c:v>Rev Actual Cumulative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(2022)'!$B$17:$M$17</c:f>
              <c:numCache>
                <c:formatCode>"$"#,##0.00_);\("$"#,##0.00\)</c:formatCode>
                <c:ptCount val="12"/>
                <c:pt idx="0">
                  <c:v>10833.73</c:v>
                </c:pt>
                <c:pt idx="1">
                  <c:v>20154.66</c:v>
                </c:pt>
                <c:pt idx="2">
                  <c:v>134014.56</c:v>
                </c:pt>
                <c:pt idx="3">
                  <c:v>531861.71</c:v>
                </c:pt>
                <c:pt idx="4">
                  <c:v>661171.17999999993</c:v>
                </c:pt>
                <c:pt idx="5">
                  <c:v>697233.0199999999</c:v>
                </c:pt>
                <c:pt idx="6">
                  <c:v>715527.96</c:v>
                </c:pt>
                <c:pt idx="7">
                  <c:v>724318.36</c:v>
                </c:pt>
                <c:pt idx="8">
                  <c:v>759577.29</c:v>
                </c:pt>
                <c:pt idx="9">
                  <c:v>1075127.5</c:v>
                </c:pt>
                <c:pt idx="10">
                  <c:v>1157333.42</c:v>
                </c:pt>
                <c:pt idx="11">
                  <c:v>1183978.8799999999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C-4430-870C-B1E5F0D959CD}"/>
            </c:ext>
          </c:extLst>
        </c:ser>
        <c:ser>
          <c:idx val="8"/>
          <c:order val="2"/>
          <c:tx>
            <c:strRef>
              <c:f>'ChartData (2022)'!$A$25</c:f>
              <c:strCache>
                <c:ptCount val="1"/>
                <c:pt idx="0">
                  <c:v>Exp Budget Cumulative</c:v>
                </c:pt>
              </c:strCache>
            </c:strRef>
          </c:tx>
          <c:spPr>
            <a:solidFill>
              <a:srgbClr val="9900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(2022)'!$B$25:$M$25</c:f>
              <c:numCache>
                <c:formatCode>"$"#,##0.00_);\("$"#,##0.00\)</c:formatCode>
                <c:ptCount val="12"/>
                <c:pt idx="0">
                  <c:v>-91776.58</c:v>
                </c:pt>
                <c:pt idx="1">
                  <c:v>-173399.02000000002</c:v>
                </c:pt>
                <c:pt idx="2">
                  <c:v>-261475.23</c:v>
                </c:pt>
                <c:pt idx="3">
                  <c:v>-364684.45</c:v>
                </c:pt>
                <c:pt idx="4">
                  <c:v>-458952.9</c:v>
                </c:pt>
                <c:pt idx="5">
                  <c:v>-551566.28</c:v>
                </c:pt>
                <c:pt idx="6">
                  <c:v>-682243.32000000007</c:v>
                </c:pt>
                <c:pt idx="7">
                  <c:v>-840881.89000000013</c:v>
                </c:pt>
                <c:pt idx="8">
                  <c:v>-947063.45000000019</c:v>
                </c:pt>
                <c:pt idx="9">
                  <c:v>-1052714.1800000002</c:v>
                </c:pt>
                <c:pt idx="10">
                  <c:v>-1144619.31</c:v>
                </c:pt>
                <c:pt idx="11">
                  <c:v>-1256004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8C-4430-870C-B1E5F0D959CD}"/>
            </c:ext>
          </c:extLst>
        </c:ser>
        <c:ser>
          <c:idx val="9"/>
          <c:order val="3"/>
          <c:tx>
            <c:strRef>
              <c:f>'ChartData (2022)'!$A$23</c:f>
              <c:strCache>
                <c:ptCount val="1"/>
                <c:pt idx="0">
                  <c:v>Exp Actual Cumulative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(2022)'!$B$23:$M$23</c:f>
              <c:numCache>
                <c:formatCode>"$"#,##0.00_);\("$"#,##0.00\)</c:formatCode>
                <c:ptCount val="12"/>
                <c:pt idx="0">
                  <c:v>-78182.909999999989</c:v>
                </c:pt>
                <c:pt idx="1">
                  <c:v>-152079.33999999997</c:v>
                </c:pt>
                <c:pt idx="2">
                  <c:v>-242390.17999999996</c:v>
                </c:pt>
                <c:pt idx="3">
                  <c:v>-344676.43</c:v>
                </c:pt>
                <c:pt idx="4">
                  <c:v>-409209.70999999996</c:v>
                </c:pt>
                <c:pt idx="5">
                  <c:v>-503888.3</c:v>
                </c:pt>
                <c:pt idx="6">
                  <c:v>-583838.22</c:v>
                </c:pt>
                <c:pt idx="7">
                  <c:v>-728289.75</c:v>
                </c:pt>
                <c:pt idx="8">
                  <c:v>-808356.49</c:v>
                </c:pt>
                <c:pt idx="9">
                  <c:v>-892694.37</c:v>
                </c:pt>
                <c:pt idx="10">
                  <c:v>-993699.26</c:v>
                </c:pt>
                <c:pt idx="11">
                  <c:v>-1153553.3700000001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8C-4430-870C-B1E5F0D95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368331504"/>
        <c:axId val="368331896"/>
      </c:barChart>
      <c:lineChart>
        <c:grouping val="standard"/>
        <c:varyColors val="0"/>
        <c:ser>
          <c:idx val="4"/>
          <c:order val="4"/>
          <c:tx>
            <c:strRef>
              <c:f>'ChartData (2022)'!$A$30</c:f>
              <c:strCache>
                <c:ptCount val="1"/>
                <c:pt idx="0">
                  <c:v>Forecast Net</c:v>
                </c:pt>
              </c:strCache>
            </c:strRef>
          </c:tx>
          <c:spPr>
            <a:ln w="25400">
              <a:solidFill>
                <a:srgbClr val="00682F"/>
              </a:solidFill>
              <a:prstDash val="solid"/>
            </a:ln>
          </c:spPr>
          <c:marker>
            <c:symbol val="none"/>
          </c:marker>
          <c:cat>
            <c:strRef>
              <c:f>'ChartData (2022)'!$B$15:$M$15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(2022)'!$B$30:$M$30</c:f>
              <c:numCache>
                <c:formatCode>"$"#,##0.00_);\("$"#,##0.00\)</c:formatCode>
                <c:ptCount val="12"/>
                <c:pt idx="0">
                  <c:v>-82188.41</c:v>
                </c:pt>
                <c:pt idx="1">
                  <c:v>-121497.94000000002</c:v>
                </c:pt>
                <c:pt idx="2">
                  <c:v>-111221.24000000002</c:v>
                </c:pt>
                <c:pt idx="3">
                  <c:v>160007.38000000006</c:v>
                </c:pt>
                <c:pt idx="4">
                  <c:v>184697.78000000003</c:v>
                </c:pt>
                <c:pt idx="5">
                  <c:v>130757.30000000005</c:v>
                </c:pt>
                <c:pt idx="6">
                  <c:v>23193.170000000042</c:v>
                </c:pt>
                <c:pt idx="7">
                  <c:v>-125817.47999999998</c:v>
                </c:pt>
                <c:pt idx="8">
                  <c:v>-166343.13</c:v>
                </c:pt>
                <c:pt idx="9">
                  <c:v>45029.040000000037</c:v>
                </c:pt>
                <c:pt idx="10">
                  <c:v>34022.820000000065</c:v>
                </c:pt>
                <c:pt idx="11">
                  <c:v>-58036.999999999767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8C-4430-870C-B1E5F0D959CD}"/>
            </c:ext>
          </c:extLst>
        </c:ser>
        <c:ser>
          <c:idx val="0"/>
          <c:order val="5"/>
          <c:tx>
            <c:strRef>
              <c:f>'ChartData (2022)'!$A$29</c:f>
              <c:strCache>
                <c:ptCount val="1"/>
                <c:pt idx="0">
                  <c:v>NET</c:v>
                </c:pt>
              </c:strCache>
            </c:strRef>
          </c:tx>
          <c:spPr>
            <a:ln>
              <a:solidFill>
                <a:srgbClr val="00A44A"/>
              </a:solidFill>
            </a:ln>
          </c:spPr>
          <c:marker>
            <c:symbol val="none"/>
          </c:marker>
          <c:val>
            <c:numRef>
              <c:f>'ChartData (2022)'!$B$29:$M$29</c:f>
              <c:numCache>
                <c:formatCode>"$"#,##0.00_);\("$"#,##0.00\)</c:formatCode>
                <c:ptCount val="12"/>
                <c:pt idx="0">
                  <c:v>-67349.179999999993</c:v>
                </c:pt>
                <c:pt idx="1">
                  <c:v>-131924.67999999996</c:v>
                </c:pt>
                <c:pt idx="2">
                  <c:v>-108375.61999999997</c:v>
                </c:pt>
                <c:pt idx="3">
                  <c:v>187185.27999999997</c:v>
                </c:pt>
                <c:pt idx="4">
                  <c:v>251961.46999999997</c:v>
                </c:pt>
                <c:pt idx="5">
                  <c:v>193344.71999999991</c:v>
                </c:pt>
                <c:pt idx="6">
                  <c:v>131689.74</c:v>
                </c:pt>
                <c:pt idx="7">
                  <c:v>-3971.390000000014</c:v>
                </c:pt>
                <c:pt idx="8">
                  <c:v>-48779.199999999953</c:v>
                </c:pt>
                <c:pt idx="9">
                  <c:v>182433.13</c:v>
                </c:pt>
                <c:pt idx="10">
                  <c:v>163634.15999999992</c:v>
                </c:pt>
                <c:pt idx="11">
                  <c:v>30425.509999999776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8C-4430-870C-B1E5F0D95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31504"/>
        <c:axId val="368331896"/>
      </c:lineChart>
      <c:catAx>
        <c:axId val="368331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Revenue</a:t>
                </a:r>
              </a:p>
            </c:rich>
          </c:tx>
          <c:layout>
            <c:manualLayout>
              <c:xMode val="edge"/>
              <c:yMode val="edge"/>
              <c:x val="0.38942865770097318"/>
              <c:y val="0.1411116150230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896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368331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Expenses</a:t>
                </a:r>
              </a:p>
            </c:rich>
          </c:tx>
          <c:layout>
            <c:manualLayout>
              <c:xMode val="edge"/>
              <c:yMode val="edge"/>
              <c:x val="0.38144381763243679"/>
              <c:y val="0.66911471360197627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31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518063781850279"/>
          <c:y val="7.7251581311628459E-2"/>
          <c:w val="0.18958873946066473"/>
          <c:h val="0.16042579546462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Revenue vs. Budget
Cumulative</a:t>
            </a:r>
          </a:p>
        </c:rich>
      </c:tx>
      <c:layout>
        <c:manualLayout>
          <c:xMode val="edge"/>
          <c:yMode val="edge"/>
          <c:x val="0.41388651442088087"/>
          <c:y val="7.809745051165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91898428053205"/>
          <c:y val="7.3619778924980284E-2"/>
          <c:w val="0.85368802902055618"/>
          <c:h val="0.8343574944831098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(2022)'!$A$35</c:f>
              <c:strCache>
                <c:ptCount val="1"/>
                <c:pt idx="0">
                  <c:v>Levy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(2022)'!$B$35:$M$35</c:f>
              <c:numCache>
                <c:formatCode>"$"#,##0.00_);\("$"#,##0.00\)</c:formatCode>
                <c:ptCount val="12"/>
                <c:pt idx="0">
                  <c:v>-1255.0700000000006</c:v>
                </c:pt>
                <c:pt idx="1">
                  <c:v>-28919.119999999999</c:v>
                </c:pt>
                <c:pt idx="2">
                  <c:v>-12949.060000000001</c:v>
                </c:pt>
                <c:pt idx="3">
                  <c:v>-15187.789999999983</c:v>
                </c:pt>
                <c:pt idx="4">
                  <c:v>-2510.4899999999798</c:v>
                </c:pt>
                <c:pt idx="5">
                  <c:v>-546.3199999999797</c:v>
                </c:pt>
                <c:pt idx="6">
                  <c:v>-1869.70999999998</c:v>
                </c:pt>
                <c:pt idx="7">
                  <c:v>-1402.6899999999796</c:v>
                </c:pt>
                <c:pt idx="8">
                  <c:v>-2481.9699999999784</c:v>
                </c:pt>
                <c:pt idx="9">
                  <c:v>1897.1100000000379</c:v>
                </c:pt>
                <c:pt idx="10">
                  <c:v>6350.5400000000454</c:v>
                </c:pt>
                <c:pt idx="11">
                  <c:v>4992.1000000000458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18-4B0E-8FD1-D46606BB65DA}"/>
            </c:ext>
          </c:extLst>
        </c:ser>
        <c:ser>
          <c:idx val="5"/>
          <c:order val="1"/>
          <c:tx>
            <c:strRef>
              <c:f>'ChartData (2022)'!$A$38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(2022)'!$B$38:$M$38</c:f>
              <c:numCache>
                <c:formatCode>"$"#,##0.00_);\("$"#,##0.00\)</c:formatCode>
                <c:ptCount val="12"/>
                <c:pt idx="0">
                  <c:v>2593.7599999999998</c:v>
                </c:pt>
                <c:pt idx="1">
                  <c:v>-2754.15</c:v>
                </c:pt>
                <c:pt idx="2">
                  <c:v>-4127.07</c:v>
                </c:pt>
                <c:pt idx="3">
                  <c:v>20314.09</c:v>
                </c:pt>
                <c:pt idx="4">
                  <c:v>17514.969999999998</c:v>
                </c:pt>
                <c:pt idx="5">
                  <c:v>12937.059999999998</c:v>
                </c:pt>
                <c:pt idx="6">
                  <c:v>8074.3999999999978</c:v>
                </c:pt>
                <c:pt idx="7">
                  <c:v>6179.5299999999979</c:v>
                </c:pt>
                <c:pt idx="8">
                  <c:v>817.01999999999771</c:v>
                </c:pt>
                <c:pt idx="9">
                  <c:v>2644.5699999999974</c:v>
                </c:pt>
                <c:pt idx="10">
                  <c:v>6528.9599999999973</c:v>
                </c:pt>
                <c:pt idx="11">
                  <c:v>22429.589999999997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18-4B0E-8FD1-D46606BB65DA}"/>
            </c:ext>
          </c:extLst>
        </c:ser>
        <c:ser>
          <c:idx val="8"/>
          <c:order val="2"/>
          <c:tx>
            <c:strRef>
              <c:f>'ChartData (2022)'!$A$41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(2022)'!$B$41:$M$41</c:f>
              <c:numCache>
                <c:formatCode>"$"#,##0.00_);\("$"#,##0.00\)</c:formatCode>
                <c:ptCount val="12"/>
                <c:pt idx="0">
                  <c:v>-65.010000000000005</c:v>
                </c:pt>
                <c:pt idx="1">
                  <c:v>-10.010000000000005</c:v>
                </c:pt>
                <c:pt idx="2">
                  <c:v>999.99</c:v>
                </c:pt>
                <c:pt idx="3">
                  <c:v>1809.99</c:v>
                </c:pt>
                <c:pt idx="4">
                  <c:v>2237.4899999999998</c:v>
                </c:pt>
                <c:pt idx="5">
                  <c:v>1942.4999999999998</c:v>
                </c:pt>
                <c:pt idx="6">
                  <c:v>2877.5</c:v>
                </c:pt>
                <c:pt idx="7">
                  <c:v>3157.5</c:v>
                </c:pt>
                <c:pt idx="8">
                  <c:v>3282.5</c:v>
                </c:pt>
                <c:pt idx="9">
                  <c:v>3087.5</c:v>
                </c:pt>
                <c:pt idx="10">
                  <c:v>3282.5</c:v>
                </c:pt>
                <c:pt idx="11">
                  <c:v>3312.5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18-4B0E-8FD1-D46606BB65DA}"/>
            </c:ext>
          </c:extLst>
        </c:ser>
        <c:ser>
          <c:idx val="11"/>
          <c:order val="3"/>
          <c:tx>
            <c:strRef>
              <c:f>'ChartData (2022)'!$A$44</c:f>
              <c:strCache>
                <c:ptCount val="1"/>
                <c:pt idx="0">
                  <c:v>Misc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(2022)'!$B$44:$M$44</c:f>
              <c:numCache>
                <c:formatCode>"$"#,##0.00_);\("$"#,##0.00\)</c:formatCode>
                <c:ptCount val="12"/>
                <c:pt idx="0">
                  <c:v>-0.01</c:v>
                </c:pt>
                <c:pt idx="1">
                  <c:v>-0.01</c:v>
                </c:pt>
                <c:pt idx="2">
                  <c:v>-25</c:v>
                </c:pt>
                <c:pt idx="3">
                  <c:v>440.1</c:v>
                </c:pt>
                <c:pt idx="4">
                  <c:v>440.1</c:v>
                </c:pt>
                <c:pt idx="5">
                  <c:v>429.41</c:v>
                </c:pt>
                <c:pt idx="6">
                  <c:v>429.41</c:v>
                </c:pt>
                <c:pt idx="7">
                  <c:v>274.41000000000003</c:v>
                </c:pt>
                <c:pt idx="8">
                  <c:v>274.41000000000003</c:v>
                </c:pt>
                <c:pt idx="9">
                  <c:v>274.41000000000003</c:v>
                </c:pt>
                <c:pt idx="10">
                  <c:v>274.41000000000003</c:v>
                </c:pt>
                <c:pt idx="11">
                  <c:v>274.41000000000003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18-4B0E-8FD1-D46606BB65DA}"/>
            </c:ext>
          </c:extLst>
        </c:ser>
        <c:ser>
          <c:idx val="17"/>
          <c:order val="4"/>
          <c:tx>
            <c:strRef>
              <c:f>'ChartData (2022)'!$A$47</c:f>
              <c:strCache>
                <c:ptCount val="1"/>
                <c:pt idx="0">
                  <c:v>Interest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(2022)'!$B$47:$M$47</c:f>
              <c:numCache>
                <c:formatCode>"$"#,##0.00_);\("$"#,##0.00\)</c:formatCode>
                <c:ptCount val="12"/>
                <c:pt idx="0">
                  <c:v>-28.110000000000014</c:v>
                </c:pt>
                <c:pt idx="1">
                  <c:v>-63.129999999999995</c:v>
                </c:pt>
                <c:pt idx="2">
                  <c:v>-138.29000000000002</c:v>
                </c:pt>
                <c:pt idx="3">
                  <c:v>-206.51000000000002</c:v>
                </c:pt>
                <c:pt idx="4">
                  <c:v>-161.56999999999996</c:v>
                </c:pt>
                <c:pt idx="5">
                  <c:v>146.79000000000005</c:v>
                </c:pt>
                <c:pt idx="6">
                  <c:v>579.87</c:v>
                </c:pt>
                <c:pt idx="7">
                  <c:v>1045.1999999999998</c:v>
                </c:pt>
                <c:pt idx="8">
                  <c:v>1403.0099999999998</c:v>
                </c:pt>
                <c:pt idx="9">
                  <c:v>1788.6899999999998</c:v>
                </c:pt>
                <c:pt idx="10">
                  <c:v>2432.88</c:v>
                </c:pt>
                <c:pt idx="11">
                  <c:v>3051.28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18-4B0E-8FD1-D46606BB65DA}"/>
            </c:ext>
          </c:extLst>
        </c:ser>
        <c:ser>
          <c:idx val="1"/>
          <c:order val="6"/>
          <c:tx>
            <c:strRef>
              <c:f>'ChartData (2022)'!$A$50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(2022)'!$B$50:$M$50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-24438</c:v>
                </c:pt>
                <c:pt idx="9">
                  <c:v>-32308</c:v>
                </c:pt>
                <c:pt idx="10">
                  <c:v>-40178</c:v>
                </c:pt>
                <c:pt idx="11">
                  <c:v>-48048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D-441A-A84E-B96F04C99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7976"/>
        <c:axId val="368324448"/>
      </c:barChart>
      <c:lineChart>
        <c:grouping val="standard"/>
        <c:varyColors val="0"/>
        <c:ser>
          <c:idx val="0"/>
          <c:order val="5"/>
          <c:tx>
            <c:strRef>
              <c:f>'ChartData (2022)'!$A$20</c:f>
              <c:strCache>
                <c:ptCount val="1"/>
                <c:pt idx="0">
                  <c:v>Act vs. Budget Rev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'ChartData (2022)'!$B$1:$M$15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(2022)'!$B$20:$M$20</c:f>
              <c:numCache>
                <c:formatCode>"$"#,##0.00_);\("$"#,##0.00\)</c:formatCode>
                <c:ptCount val="12"/>
                <c:pt idx="0">
                  <c:v>1245.5599999999995</c:v>
                </c:pt>
                <c:pt idx="1">
                  <c:v>-31746.420000000002</c:v>
                </c:pt>
                <c:pt idx="2">
                  <c:v>-16239.429999999993</c:v>
                </c:pt>
                <c:pt idx="3">
                  <c:v>7169.8799999998882</c:v>
                </c:pt>
                <c:pt idx="4">
                  <c:v>17520.499999999884</c:v>
                </c:pt>
                <c:pt idx="5">
                  <c:v>14909.439999999828</c:v>
                </c:pt>
                <c:pt idx="6">
                  <c:v>10091.469999999856</c:v>
                </c:pt>
                <c:pt idx="7">
                  <c:v>9253.949999999837</c:v>
                </c:pt>
                <c:pt idx="8">
                  <c:v>-21143.030000000144</c:v>
                </c:pt>
                <c:pt idx="9">
                  <c:v>-22615.720000000205</c:v>
                </c:pt>
                <c:pt idx="10">
                  <c:v>-21308.710000000196</c:v>
                </c:pt>
                <c:pt idx="11">
                  <c:v>-13988.120000000345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18-4B0E-8FD1-D46606BB6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7976"/>
        <c:axId val="368324448"/>
      </c:lineChart>
      <c:catAx>
        <c:axId val="368327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4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7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58047794016899"/>
          <c:y val="8.0012672204066895E-2"/>
          <c:w val="0.19958384487053973"/>
          <c:h val="0.219491885187894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8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80"/>
              <a:t>Expenses vs. Budget
Cumulative</a:t>
            </a:r>
          </a:p>
        </c:rich>
      </c:tx>
      <c:layout>
        <c:manualLayout>
          <c:xMode val="edge"/>
          <c:yMode val="edge"/>
          <c:x val="0.40504099409758276"/>
          <c:y val="9.7557857741545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6624525916561"/>
          <c:y val="9.0349166562225844E-2"/>
          <c:w val="0.86725663716814161"/>
          <c:h val="0.8151958892091740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'ChartData (2022)'!$A$55</c:f>
              <c:strCache>
                <c:ptCount val="1"/>
                <c:pt idx="0">
                  <c:v>Admin vs. Budget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(2022)'!$B$55:$M$55</c:f>
              <c:numCache>
                <c:formatCode>"$"#,##0.00_);\("$"#,##0.00\)</c:formatCode>
                <c:ptCount val="12"/>
                <c:pt idx="0">
                  <c:v>-2782.0799999999945</c:v>
                </c:pt>
                <c:pt idx="1">
                  <c:v>-664.44999999999709</c:v>
                </c:pt>
                <c:pt idx="2">
                  <c:v>376.01000000000204</c:v>
                </c:pt>
                <c:pt idx="3">
                  <c:v>-30135.97</c:v>
                </c:pt>
                <c:pt idx="4">
                  <c:v>-17098.079999999998</c:v>
                </c:pt>
                <c:pt idx="5">
                  <c:v>-14519.029999999999</c:v>
                </c:pt>
                <c:pt idx="6">
                  <c:v>-8552.75</c:v>
                </c:pt>
                <c:pt idx="7">
                  <c:v>-5916.8899999999994</c:v>
                </c:pt>
                <c:pt idx="8">
                  <c:v>-9263.0000000000036</c:v>
                </c:pt>
                <c:pt idx="9">
                  <c:v>-7050.8600000000042</c:v>
                </c:pt>
                <c:pt idx="10">
                  <c:v>-11737.400000000009</c:v>
                </c:pt>
                <c:pt idx="11">
                  <c:v>3096.4999999999927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7-4A49-BAE6-CC69DD673472}"/>
            </c:ext>
          </c:extLst>
        </c:ser>
        <c:ser>
          <c:idx val="5"/>
          <c:order val="1"/>
          <c:tx>
            <c:strRef>
              <c:f>'ChartData (2022)'!$A$58</c:f>
              <c:strCache>
                <c:ptCount val="1"/>
                <c:pt idx="0">
                  <c:v>Maint vs. Budget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(2022)'!$B$58:$M$58</c:f>
              <c:numCache>
                <c:formatCode>"$"#,##0.00_);\("$"#,##0.00\)</c:formatCode>
                <c:ptCount val="12"/>
                <c:pt idx="0">
                  <c:v>6869.369999999999</c:v>
                </c:pt>
                <c:pt idx="1">
                  <c:v>14528.8</c:v>
                </c:pt>
                <c:pt idx="2">
                  <c:v>12329.93</c:v>
                </c:pt>
                <c:pt idx="3">
                  <c:v>16999.98</c:v>
                </c:pt>
                <c:pt idx="4">
                  <c:v>28952.15</c:v>
                </c:pt>
                <c:pt idx="5">
                  <c:v>32210.59</c:v>
                </c:pt>
                <c:pt idx="6">
                  <c:v>43803.270000000004</c:v>
                </c:pt>
                <c:pt idx="7">
                  <c:v>49943.54</c:v>
                </c:pt>
                <c:pt idx="8">
                  <c:v>53960.81</c:v>
                </c:pt>
                <c:pt idx="9">
                  <c:v>57429.19</c:v>
                </c:pt>
                <c:pt idx="10">
                  <c:v>65579.48000000001</c:v>
                </c:pt>
                <c:pt idx="11">
                  <c:v>42492.390000000014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F7-4A49-BAE6-CC69DD673472}"/>
            </c:ext>
          </c:extLst>
        </c:ser>
        <c:ser>
          <c:idx val="8"/>
          <c:order val="2"/>
          <c:tx>
            <c:strRef>
              <c:f>'ChartData (2022)'!$A$61</c:f>
              <c:strCache>
                <c:ptCount val="1"/>
                <c:pt idx="0">
                  <c:v>Programs vs. Budget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(2022)'!$B$61:$M$61</c:f>
              <c:numCache>
                <c:formatCode>"$"#,##0.00_);\("$"#,##0.00\)</c:formatCode>
                <c:ptCount val="12"/>
                <c:pt idx="0">
                  <c:v>3531.3799999999992</c:v>
                </c:pt>
                <c:pt idx="1">
                  <c:v>5108.08</c:v>
                </c:pt>
                <c:pt idx="2">
                  <c:v>6728.59</c:v>
                </c:pt>
                <c:pt idx="3">
                  <c:v>9244.01</c:v>
                </c:pt>
                <c:pt idx="4">
                  <c:v>17588.21</c:v>
                </c:pt>
                <c:pt idx="5">
                  <c:v>-2341.7700000000004</c:v>
                </c:pt>
                <c:pt idx="6">
                  <c:v>13434.709999999995</c:v>
                </c:pt>
                <c:pt idx="7">
                  <c:v>11137.109999999997</c:v>
                </c:pt>
                <c:pt idx="8">
                  <c:v>16599.28</c:v>
                </c:pt>
                <c:pt idx="9">
                  <c:v>18386.61</c:v>
                </c:pt>
                <c:pt idx="10">
                  <c:v>14336.5</c:v>
                </c:pt>
                <c:pt idx="11">
                  <c:v>1451.0699999999997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F7-4A49-BAE6-CC69DD673472}"/>
            </c:ext>
          </c:extLst>
        </c:ser>
        <c:ser>
          <c:idx val="11"/>
          <c:order val="3"/>
          <c:tx>
            <c:strRef>
              <c:f>'ChartData (2022)'!$A$64</c:f>
              <c:strCache>
                <c:ptCount val="1"/>
                <c:pt idx="0">
                  <c:v>Con/Vend/Rent vs. Budget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(2022)'!$B$64:$M$64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F7-4A49-BAE6-CC69DD673472}"/>
            </c:ext>
          </c:extLst>
        </c:ser>
        <c:ser>
          <c:idx val="14"/>
          <c:order val="4"/>
          <c:tx>
            <c:strRef>
              <c:f>'ChartData (2022)'!$A$67</c:f>
              <c:strCache>
                <c:ptCount val="1"/>
                <c:pt idx="0">
                  <c:v>Capital Purch vs. Budget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(2022)'!$B$67:$M$67</c:f>
              <c:numCache>
                <c:formatCode>"$"#,##0.00_);\("$"#,##0.00\)</c:formatCode>
                <c:ptCount val="12"/>
                <c:pt idx="0">
                  <c:v>5975</c:v>
                </c:pt>
                <c:pt idx="1">
                  <c:v>11950</c:v>
                </c:pt>
                <c:pt idx="2">
                  <c:v>17925</c:v>
                </c:pt>
                <c:pt idx="3">
                  <c:v>23900</c:v>
                </c:pt>
                <c:pt idx="4">
                  <c:v>29875</c:v>
                </c:pt>
                <c:pt idx="5">
                  <c:v>35850</c:v>
                </c:pt>
                <c:pt idx="6">
                  <c:v>41825</c:v>
                </c:pt>
                <c:pt idx="7">
                  <c:v>47800</c:v>
                </c:pt>
                <c:pt idx="8">
                  <c:v>53775</c:v>
                </c:pt>
                <c:pt idx="9">
                  <c:v>59750</c:v>
                </c:pt>
                <c:pt idx="10">
                  <c:v>43366.6</c:v>
                </c:pt>
                <c:pt idx="11">
                  <c:v>7809.1999999999971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F7-4A49-BAE6-CC69DD673472}"/>
            </c:ext>
          </c:extLst>
        </c:ser>
        <c:ser>
          <c:idx val="17"/>
          <c:order val="5"/>
          <c:tx>
            <c:strRef>
              <c:f>'ChartData (2022)'!$A$73</c:f>
              <c:strCache>
                <c:ptCount val="1"/>
                <c:pt idx="0">
                  <c:v>Loan Payments/Fees vs. Budget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(2022)'!$B$52:$M$52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(2022)'!$B$73:$M$73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-9602.75</c:v>
                </c:pt>
                <c:pt idx="2">
                  <c:v>-18274.48</c:v>
                </c:pt>
                <c:pt idx="3">
                  <c:v>0</c:v>
                </c:pt>
                <c:pt idx="4">
                  <c:v>-9574.09</c:v>
                </c:pt>
                <c:pt idx="5">
                  <c:v>-3521.8099999999995</c:v>
                </c:pt>
                <c:pt idx="6">
                  <c:v>24.870000000000346</c:v>
                </c:pt>
                <c:pt idx="7">
                  <c:v>-6111.619999999999</c:v>
                </c:pt>
                <c:pt idx="8">
                  <c:v>24.8700000000008</c:v>
                </c:pt>
                <c:pt idx="9">
                  <c:v>24.8700000000008</c:v>
                </c:pt>
                <c:pt idx="10">
                  <c:v>24.8700000000008</c:v>
                </c:pt>
                <c:pt idx="11">
                  <c:v>381.47000000000082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F7-4A49-BAE6-CC69DD673472}"/>
            </c:ext>
          </c:extLst>
        </c:ser>
        <c:ser>
          <c:idx val="1"/>
          <c:order val="7"/>
          <c:tx>
            <c:strRef>
              <c:f>'ChartData (2022)'!$A$70</c:f>
              <c:strCache>
                <c:ptCount val="1"/>
                <c:pt idx="0">
                  <c:v>Campground vs. Budget</c:v>
                </c:pt>
              </c:strCache>
            </c:strRef>
          </c:tx>
          <c:invertIfNegative val="0"/>
          <c:val>
            <c:numRef>
              <c:f>'ChartData (2022)'!$B$70:$M$70</c:f>
              <c:numCache>
                <c:formatCode>"$"#,##0.00_);\("$"#,##0.00\)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7870</c:v>
                </c:pt>
                <c:pt idx="7">
                  <c:v>15740</c:v>
                </c:pt>
                <c:pt idx="8">
                  <c:v>23610</c:v>
                </c:pt>
                <c:pt idx="9">
                  <c:v>31480</c:v>
                </c:pt>
                <c:pt idx="10">
                  <c:v>39350</c:v>
                </c:pt>
                <c:pt idx="11">
                  <c:v>47220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16-4A4F-B2A1-AEE861AB7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325624"/>
        <c:axId val="368326016"/>
      </c:barChart>
      <c:lineChart>
        <c:grouping val="standard"/>
        <c:varyColors val="0"/>
        <c:ser>
          <c:idx val="0"/>
          <c:order val="6"/>
          <c:tx>
            <c:strRef>
              <c:f>'ChartData (2022)'!$A$26</c:f>
              <c:strCache>
                <c:ptCount val="1"/>
                <c:pt idx="0">
                  <c:v>Act vs. Budget Exp Cumulative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'ChartData (2022)'!$B$26:$M$26</c:f>
              <c:numCache>
                <c:formatCode>"$"#,##0.00_);\("$"#,##0.00\)</c:formatCode>
                <c:ptCount val="12"/>
                <c:pt idx="0">
                  <c:v>13593.670000000013</c:v>
                </c:pt>
                <c:pt idx="1">
                  <c:v>21319.680000000051</c:v>
                </c:pt>
                <c:pt idx="2">
                  <c:v>19085.050000000047</c:v>
                </c:pt>
                <c:pt idx="3">
                  <c:v>20008.020000000019</c:v>
                </c:pt>
                <c:pt idx="4">
                  <c:v>49743.190000000061</c:v>
                </c:pt>
                <c:pt idx="5">
                  <c:v>47677.98000000004</c:v>
                </c:pt>
                <c:pt idx="6">
                  <c:v>98405.100000000093</c:v>
                </c:pt>
                <c:pt idx="7">
                  <c:v>112592.14000000013</c:v>
                </c:pt>
                <c:pt idx="8">
                  <c:v>138706.9600000002</c:v>
                </c:pt>
                <c:pt idx="9">
                  <c:v>160019.81000000017</c:v>
                </c:pt>
                <c:pt idx="10">
                  <c:v>150920.05000000005</c:v>
                </c:pt>
                <c:pt idx="11">
                  <c:v>102450.62999999989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F7-4A49-BAE6-CC69DD67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25624"/>
        <c:axId val="368326016"/>
      </c:lineChart>
      <c:catAx>
        <c:axId val="36832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56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38470233665616"/>
          <c:y val="9.6618844683395086E-2"/>
          <c:w val="0.20861831581425863"/>
          <c:h val="0.2407368954489125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Fund Balances</a:t>
            </a:r>
          </a:p>
        </c:rich>
      </c:tx>
      <c:layout>
        <c:manualLayout>
          <c:xMode val="edge"/>
          <c:yMode val="edge"/>
          <c:x val="0.49894291799282364"/>
          <c:y val="0.1062357793511105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566750629723"/>
          <c:y val="6.9246435845213852E-2"/>
          <c:w val="0.86775818639798485"/>
          <c:h val="0.84725050916496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'ChartData (2022)'!$A$76</c:f>
              <c:strCache>
                <c:ptCount val="1"/>
                <c:pt idx="0">
                  <c:v>M&amp;O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(2022)'!$B$76:$M$76</c:f>
              <c:numCache>
                <c:formatCode>"$"#,##0.00_);\("$"#,##0.00\)</c:formatCode>
                <c:ptCount val="12"/>
                <c:pt idx="0">
                  <c:v>299464.59999999998</c:v>
                </c:pt>
                <c:pt idx="1">
                  <c:v>234665.23</c:v>
                </c:pt>
                <c:pt idx="2">
                  <c:v>258208.7</c:v>
                </c:pt>
                <c:pt idx="3">
                  <c:v>562466.5</c:v>
                </c:pt>
                <c:pt idx="4">
                  <c:v>618219.80000000005</c:v>
                </c:pt>
                <c:pt idx="5">
                  <c:v>582784.73</c:v>
                </c:pt>
                <c:pt idx="6">
                  <c:v>497281.24</c:v>
                </c:pt>
                <c:pt idx="7">
                  <c:v>361395.23</c:v>
                </c:pt>
                <c:pt idx="8">
                  <c:v>316333.08</c:v>
                </c:pt>
                <c:pt idx="9">
                  <c:v>546882.79</c:v>
                </c:pt>
                <c:pt idx="10">
                  <c:v>527516.59</c:v>
                </c:pt>
                <c:pt idx="11">
                  <c:v>392517.75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22-4D16-BD8B-E8A66A84165F}"/>
            </c:ext>
          </c:extLst>
        </c:ser>
        <c:ser>
          <c:idx val="1"/>
          <c:order val="1"/>
          <c:tx>
            <c:strRef>
              <c:f>'ChartData (2022)'!$A$77</c:f>
              <c:strCache>
                <c:ptCount val="1"/>
                <c:pt idx="0">
                  <c:v>Reserve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(2022)'!$B$77:$M$77</c:f>
              <c:numCache>
                <c:formatCode>"$"#,##0.00_);\("$"#,##0.00\)</c:formatCode>
                <c:ptCount val="12"/>
                <c:pt idx="0">
                  <c:v>339264.22</c:v>
                </c:pt>
                <c:pt idx="1">
                  <c:v>339443.36</c:v>
                </c:pt>
                <c:pt idx="2">
                  <c:v>339624.32999999996</c:v>
                </c:pt>
                <c:pt idx="3">
                  <c:v>339805.97</c:v>
                </c:pt>
                <c:pt idx="4">
                  <c:v>340048.8</c:v>
                </c:pt>
                <c:pt idx="5">
                  <c:v>340317.16</c:v>
                </c:pt>
                <c:pt idx="6">
                  <c:v>340644.53</c:v>
                </c:pt>
                <c:pt idx="7">
                  <c:v>341002.69</c:v>
                </c:pt>
                <c:pt idx="8">
                  <c:v>341374.27</c:v>
                </c:pt>
                <c:pt idx="9">
                  <c:v>341808.78</c:v>
                </c:pt>
                <c:pt idx="10">
                  <c:v>342338.51</c:v>
                </c:pt>
                <c:pt idx="11">
                  <c:v>342797.16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22-4D16-BD8B-E8A66A84165F}"/>
            </c:ext>
          </c:extLst>
        </c:ser>
        <c:ser>
          <c:idx val="2"/>
          <c:order val="2"/>
          <c:tx>
            <c:strRef>
              <c:f>'ChartData (2022)'!$A$79</c:f>
              <c:strCache>
                <c:ptCount val="1"/>
                <c:pt idx="0">
                  <c:v>Capital (Maxwelton Trails Bond 2020 (Dec 2024)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(2022)'!$B$79:$M$79</c:f>
              <c:numCache>
                <c:formatCode>"$"#,##0.00_);\("$"#,##0.00\)</c:formatCode>
                <c:ptCount val="12"/>
                <c:pt idx="0">
                  <c:v>213927.94</c:v>
                </c:pt>
                <c:pt idx="1">
                  <c:v>214017.77</c:v>
                </c:pt>
                <c:pt idx="2">
                  <c:v>214108.47</c:v>
                </c:pt>
                <c:pt idx="3">
                  <c:v>214199.48</c:v>
                </c:pt>
                <c:pt idx="4">
                  <c:v>221006.58</c:v>
                </c:pt>
                <c:pt idx="5">
                  <c:v>221140.89</c:v>
                </c:pt>
                <c:pt idx="6">
                  <c:v>221304.67</c:v>
                </c:pt>
                <c:pt idx="7">
                  <c:v>221483.59999999998</c:v>
                </c:pt>
                <c:pt idx="8">
                  <c:v>221669.08</c:v>
                </c:pt>
                <c:pt idx="9">
                  <c:v>221885.74</c:v>
                </c:pt>
                <c:pt idx="10">
                  <c:v>64072.94</c:v>
                </c:pt>
                <c:pt idx="11">
                  <c:v>64133.32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22-4D16-BD8B-E8A66A84165F}"/>
            </c:ext>
          </c:extLst>
        </c:ser>
        <c:ser>
          <c:idx val="3"/>
          <c:order val="3"/>
          <c:tx>
            <c:strRef>
              <c:f>'ChartData (2022)'!$A$80</c:f>
              <c:strCache>
                <c:ptCount val="1"/>
                <c:pt idx="0">
                  <c:v>Property (Campground)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(2022)'!$B$80:$M$80</c:f>
              <c:numCache>
                <c:formatCode>"$"#,##0.00</c:formatCode>
                <c:ptCount val="12"/>
                <c:pt idx="0">
                  <c:v>196649.87</c:v>
                </c:pt>
                <c:pt idx="1">
                  <c:v>196649.87</c:v>
                </c:pt>
                <c:pt idx="2">
                  <c:v>196649.87</c:v>
                </c:pt>
                <c:pt idx="3">
                  <c:v>196649.87</c:v>
                </c:pt>
                <c:pt idx="4">
                  <c:v>196649.87</c:v>
                </c:pt>
                <c:pt idx="5">
                  <c:v>196649.87</c:v>
                </c:pt>
                <c:pt idx="6">
                  <c:v>196649.87</c:v>
                </c:pt>
                <c:pt idx="7">
                  <c:v>196649.87</c:v>
                </c:pt>
                <c:pt idx="8">
                  <c:v>196140.24</c:v>
                </c:pt>
                <c:pt idx="9">
                  <c:v>196140.24</c:v>
                </c:pt>
                <c:pt idx="10">
                  <c:v>196140.24</c:v>
                </c:pt>
                <c:pt idx="11">
                  <c:v>196140.24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22-4D16-BD8B-E8A66A84165F}"/>
            </c:ext>
          </c:extLst>
        </c:ser>
        <c:ser>
          <c:idx val="6"/>
          <c:order val="6"/>
          <c:tx>
            <c:strRef>
              <c:f>'ChartData (2022)'!$A$81</c:f>
              <c:strCache>
                <c:ptCount val="1"/>
                <c:pt idx="0">
                  <c:v>Bond (Park Improvement Bond 2007 (Dec 2027))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val>
            <c:numRef>
              <c:f>'ChartData (2022)'!$B$81:$J$81</c:f>
              <c:numCache>
                <c:formatCode>"$"#,##0.00</c:formatCode>
                <c:ptCount val="9"/>
                <c:pt idx="0">
                  <c:v>39113.279999999999</c:v>
                </c:pt>
                <c:pt idx="1">
                  <c:v>40882.31</c:v>
                </c:pt>
                <c:pt idx="2">
                  <c:v>62534.939999999995</c:v>
                </c:pt>
                <c:pt idx="3">
                  <c:v>134548.76999999999</c:v>
                </c:pt>
                <c:pt idx="4">
                  <c:v>150437.07</c:v>
                </c:pt>
                <c:pt idx="5">
                  <c:v>144440.32999999999</c:v>
                </c:pt>
                <c:pt idx="6">
                  <c:v>145380.68</c:v>
                </c:pt>
                <c:pt idx="7">
                  <c:v>146652.79999999999</c:v>
                </c:pt>
                <c:pt idx="8">
                  <c:v>150723.75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22-4D16-BD8B-E8A66A841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57240"/>
        <c:axId val="368329936"/>
      </c:barChart>
      <c:lineChart>
        <c:grouping val="standard"/>
        <c:varyColors val="0"/>
        <c:ser>
          <c:idx val="4"/>
          <c:order val="4"/>
          <c:tx>
            <c:strRef>
              <c:f>'ChartData (2022)'!$A$82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'ChartData (2022)'!$B$75:$M$75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'ChartData (2022)'!$B$82:$M$82</c:f>
              <c:numCache>
                <c:formatCode>"$"#,##0.00_);\("$"#,##0.00\)</c:formatCode>
                <c:ptCount val="12"/>
                <c:pt idx="0">
                  <c:v>1088419.9099999999</c:v>
                </c:pt>
                <c:pt idx="1">
                  <c:v>1025658.54</c:v>
                </c:pt>
                <c:pt idx="2">
                  <c:v>1071126.31</c:v>
                </c:pt>
                <c:pt idx="3">
                  <c:v>1447670.5899999999</c:v>
                </c:pt>
                <c:pt idx="4">
                  <c:v>1526362.1200000003</c:v>
                </c:pt>
                <c:pt idx="5">
                  <c:v>1485332.98</c:v>
                </c:pt>
                <c:pt idx="6">
                  <c:v>1401260.99</c:v>
                </c:pt>
                <c:pt idx="7">
                  <c:v>1267184.1900000002</c:v>
                </c:pt>
                <c:pt idx="8">
                  <c:v>1226240.4200000002</c:v>
                </c:pt>
                <c:pt idx="9">
                  <c:v>1520023.8800000001</c:v>
                </c:pt>
                <c:pt idx="10">
                  <c:v>1513982.82</c:v>
                </c:pt>
                <c:pt idx="11">
                  <c:v>1035831.0999999999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22-4D16-BD8B-E8A66A84165F}"/>
            </c:ext>
          </c:extLst>
        </c:ser>
        <c:ser>
          <c:idx val="5"/>
          <c:order val="5"/>
          <c:tx>
            <c:strRef>
              <c:f>'ChartData (2022)'!$A$78</c:f>
              <c:strCache>
                <c:ptCount val="1"/>
                <c:pt idx="0">
                  <c:v>Reserve Objective</c:v>
                </c:pt>
              </c:strCache>
            </c:strRef>
          </c:tx>
          <c:marker>
            <c:symbol val="none"/>
          </c:marker>
          <c:val>
            <c:numRef>
              <c:f>'ChartData (2022)'!$B$78:$M$78</c:f>
              <c:numCache>
                <c:formatCode>"$"#,##0.00_);\("$"#,##0.00\)</c:formatCode>
                <c:ptCount val="12"/>
                <c:pt idx="0">
                  <c:v>339116</c:v>
                </c:pt>
                <c:pt idx="1">
                  <c:v>339116</c:v>
                </c:pt>
                <c:pt idx="2">
                  <c:v>339116</c:v>
                </c:pt>
                <c:pt idx="3">
                  <c:v>339116</c:v>
                </c:pt>
                <c:pt idx="4">
                  <c:v>339116</c:v>
                </c:pt>
                <c:pt idx="5">
                  <c:v>339116</c:v>
                </c:pt>
                <c:pt idx="6">
                  <c:v>339116</c:v>
                </c:pt>
                <c:pt idx="7">
                  <c:v>339116</c:v>
                </c:pt>
                <c:pt idx="8">
                  <c:v>339116</c:v>
                </c:pt>
                <c:pt idx="9">
                  <c:v>339116</c:v>
                </c:pt>
                <c:pt idx="10">
                  <c:v>339116</c:v>
                </c:pt>
                <c:pt idx="11">
                  <c:v>339116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22-4D16-BD8B-E8A66A841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57240"/>
        <c:axId val="368329936"/>
      </c:lineChart>
      <c:catAx>
        <c:axId val="369357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32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32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_);\(\$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57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01877570227606"/>
          <c:y val="0.31861400077438462"/>
          <c:w val="0.28765538954171449"/>
          <c:h val="0.221934154092589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1</xdr:row>
      <xdr:rowOff>9525</xdr:rowOff>
    </xdr:from>
    <xdr:to>
      <xdr:col>28</xdr:col>
      <xdr:colOff>161925</xdr:colOff>
      <xdr:row>35</xdr:row>
      <xdr:rowOff>76200</xdr:rowOff>
    </xdr:to>
    <xdr:graphicFrame macro="">
      <xdr:nvGraphicFramePr>
        <xdr:cNvPr id="979536" name="Chart 5">
          <a:extLst>
            <a:ext uri="{FF2B5EF4-FFF2-40B4-BE49-F238E27FC236}">
              <a16:creationId xmlns:a16="http://schemas.microsoft.com/office/drawing/2014/main" id="{00000000-0008-0000-0000-000050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9525</xdr:rowOff>
    </xdr:from>
    <xdr:to>
      <xdr:col>14</xdr:col>
      <xdr:colOff>257175</xdr:colOff>
      <xdr:row>35</xdr:row>
      <xdr:rowOff>76200</xdr:rowOff>
    </xdr:to>
    <xdr:graphicFrame macro="">
      <xdr:nvGraphicFramePr>
        <xdr:cNvPr id="979537" name="Chart 6">
          <a:extLst>
            <a:ext uri="{FF2B5EF4-FFF2-40B4-BE49-F238E27FC236}">
              <a16:creationId xmlns:a16="http://schemas.microsoft.com/office/drawing/2014/main" id="{00000000-0008-0000-0000-000051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35</xdr:row>
      <xdr:rowOff>76200</xdr:rowOff>
    </xdr:from>
    <xdr:to>
      <xdr:col>14</xdr:col>
      <xdr:colOff>304800</xdr:colOff>
      <xdr:row>69</xdr:row>
      <xdr:rowOff>123825</xdr:rowOff>
    </xdr:to>
    <xdr:graphicFrame macro="">
      <xdr:nvGraphicFramePr>
        <xdr:cNvPr id="979538" name="Chart 7">
          <a:extLst>
            <a:ext uri="{FF2B5EF4-FFF2-40B4-BE49-F238E27FC236}">
              <a16:creationId xmlns:a16="http://schemas.microsoft.com/office/drawing/2014/main" id="{00000000-0008-0000-0000-000052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304800</xdr:colOff>
      <xdr:row>35</xdr:row>
      <xdr:rowOff>57150</xdr:rowOff>
    </xdr:from>
    <xdr:to>
      <xdr:col>28</xdr:col>
      <xdr:colOff>161925</xdr:colOff>
      <xdr:row>69</xdr:row>
      <xdr:rowOff>114300</xdr:rowOff>
    </xdr:to>
    <xdr:graphicFrame macro="">
      <xdr:nvGraphicFramePr>
        <xdr:cNvPr id="979539" name="Chart 8">
          <a:extLst>
            <a:ext uri="{FF2B5EF4-FFF2-40B4-BE49-F238E27FC236}">
              <a16:creationId xmlns:a16="http://schemas.microsoft.com/office/drawing/2014/main" id="{00000000-0008-0000-0000-000053F20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625756</xdr:colOff>
      <xdr:row>28</xdr:row>
      <xdr:rowOff>142875</xdr:rowOff>
    </xdr:to>
    <xdr:graphicFrame macro="">
      <xdr:nvGraphicFramePr>
        <xdr:cNvPr id="10" name="Chart 6">
          <a:extLst>
            <a:ext uri="{FF2B5EF4-FFF2-40B4-BE49-F238E27FC236}">
              <a16:creationId xmlns:a16="http://schemas.microsoft.com/office/drawing/2014/main" id="{93A19573-873A-4BE0-9D49-8F4E2DF17F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518160</xdr:colOff>
      <xdr:row>9</xdr:row>
      <xdr:rowOff>99060</xdr:rowOff>
    </xdr:from>
    <xdr:to>
      <xdr:col>9</xdr:col>
      <xdr:colOff>518160</xdr:colOff>
      <xdr:row>9</xdr:row>
      <xdr:rowOff>129540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3A23702-1DBD-42EF-BCF9-84607C9CFA7A}"/>
            </a:ext>
          </a:extLst>
        </xdr:cNvPr>
        <xdr:cNvCxnSpPr/>
      </xdr:nvCxnSpPr>
      <xdr:spPr>
        <a:xfrm>
          <a:off x="7101840" y="1607820"/>
          <a:ext cx="0" cy="304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667561</xdr:colOff>
      <xdr:row>28</xdr:row>
      <xdr:rowOff>57149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128F53D9-2511-4888-9444-E697F21DE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670009</xdr:colOff>
      <xdr:row>30</xdr:row>
      <xdr:rowOff>66675</xdr:rowOff>
    </xdr:to>
    <xdr:graphicFrame macro="">
      <xdr:nvGraphicFramePr>
        <xdr:cNvPr id="3" name="Chart 8">
          <a:extLst>
            <a:ext uri="{FF2B5EF4-FFF2-40B4-BE49-F238E27FC236}">
              <a16:creationId xmlns:a16="http://schemas.microsoft.com/office/drawing/2014/main" id="{8562A60C-C832-43FE-ADFC-44D8C8C27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11</xdr:col>
      <xdr:colOff>640793</xdr:colOff>
      <xdr:row>30</xdr:row>
      <xdr:rowOff>114300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58EB114F-BFF2-4EA8-A9D4-F5D36D9935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arrie Monforte" id="{7193815A-E20A-4C1D-9876-02B5D95DF8B8}" userId="Carrie Monfort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6" dT="2022-12-13T19:20:17.46" personId="{7193815A-E20A-4C1D-9876-02B5D95DF8B8}" id="{A87B20E9-F13C-4A99-9D3E-83319C6D765C}">
    <text>Corrected $2440 program negative expense to revenue</text>
  </threadedComment>
  <threadedComment ref="H59" dT="2022-12-13T19:21:32.41" personId="{7193815A-E20A-4C1D-9876-02B5D95DF8B8}" id="{39F8FF40-0AFF-4420-84DF-F321D0A74042}">
    <text>Corrected $2440 program negative expense to revenue</text>
  </threadedComment>
  <threadedComment ref="B78" dT="2022-03-12T00:03:11.51" personId="{7193815A-E20A-4C1D-9876-02B5D95DF8B8}" id="{ACFAFE01-CC87-478E-93B1-94014C695A26}">
    <text>Set to 2023 beginning cash required from 2022 budget 5 year projection</text>
  </threadedComment>
  <threadedComment ref="F79" dT="2022-07-14T21:49:56.28" personId="{7193815A-E20A-4C1D-9876-02B5D95DF8B8}" id="{94009BF2-845D-4804-9A57-8C9A58362BB1}">
    <text>$6,685.48 RCO Grant Reimbursement</text>
  </threadedComment>
  <threadedComment ref="L80" dT="2022-12-12T20:16:37.80" personId="{7193815A-E20A-4C1D-9876-02B5D95DF8B8}" id="{3704984B-F84A-459F-94D1-D66A9F4B447F}">
    <text>Transfers: $1741.69 to M&amp;O for reimbursement of purchases; $156270.27 to Bond Fund for Pay-Off UTGO Bond, 2020</text>
  </threadedComment>
  <threadedComment ref="G81" dT="2022-07-14T21:18:15.09" personId="{7193815A-E20A-4C1D-9876-02B5D95DF8B8}" id="{89F35A6E-38C2-4B7D-9D0C-635321FB25B3}">
    <text>$8,713.37 Bond Payments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"/>
  <sheetViews>
    <sheetView topLeftCell="A2" zoomScale="70" zoomScaleNormal="70" workbookViewId="0">
      <selection activeCell="AE49" sqref="AE49"/>
    </sheetView>
  </sheetViews>
  <sheetFormatPr defaultRowHeight="12.75" x14ac:dyDescent="0.2"/>
  <cols>
    <col min="13" max="13" width="12" bestFit="1" customWidth="1"/>
  </cols>
  <sheetData>
    <row r="1" spans="1:13" ht="30.75" customHeight="1" x14ac:dyDescent="0.3">
      <c r="A1" s="34" t="s">
        <v>5</v>
      </c>
      <c r="B1" s="35"/>
      <c r="C1" s="35"/>
      <c r="D1" s="35"/>
      <c r="E1" s="35"/>
      <c r="F1" s="35"/>
      <c r="H1" s="35"/>
      <c r="I1" s="34" t="s">
        <v>6</v>
      </c>
      <c r="M1" s="36" t="s">
        <v>100</v>
      </c>
    </row>
    <row r="2" spans="1:13" ht="20.25" x14ac:dyDescent="0.3">
      <c r="A2" s="35"/>
      <c r="B2" s="35"/>
      <c r="C2" s="35"/>
      <c r="D2" s="35"/>
      <c r="E2" s="35"/>
      <c r="F2" s="35"/>
      <c r="G2" s="35"/>
      <c r="H2" s="35"/>
    </row>
  </sheetData>
  <phoneticPr fontId="2" type="noConversion"/>
  <pageMargins left="0.25" right="0.25" top="0.75" bottom="0.75" header="0.3" footer="0.3"/>
  <pageSetup scale="4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FAE00-7467-44C1-9646-CDBEE8FA1CB6}">
  <dimension ref="A1"/>
  <sheetViews>
    <sheetView workbookViewId="0">
      <selection activeCell="O33" sqref="O33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CFD0A-DAB0-4534-84F0-21CD4C16B7F2}">
  <dimension ref="A1"/>
  <sheetViews>
    <sheetView workbookViewId="0">
      <selection activeCell="F38" sqref="F38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A7386-FCA8-4A90-AAC2-B7E4E8457B03}">
  <dimension ref="A1"/>
  <sheetViews>
    <sheetView workbookViewId="0">
      <selection activeCell="K35" sqref="K35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41625-CE58-4AF0-BBE6-A400465B41D3}">
  <dimension ref="A1"/>
  <sheetViews>
    <sheetView workbookViewId="0">
      <selection activeCell="M36" sqref="M36"/>
    </sheetView>
  </sheetViews>
  <sheetFormatPr defaultRowHeight="12.75" x14ac:dyDescent="0.2"/>
  <sheetData/>
  <pageMargins left="0.7" right="0.7" top="0.75" bottom="0.75" header="0.3" footer="0.3"/>
  <pageSetup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8"/>
  <sheetViews>
    <sheetView tabSelected="1" topLeftCell="A15" workbookViewId="0">
      <pane xSplit="1" ySplit="1" topLeftCell="B16" activePane="bottomRight" state="frozen"/>
      <selection activeCell="A15" sqref="A15"/>
      <selection pane="topRight" activeCell="B15" sqref="B15"/>
      <selection pane="bottomLeft" activeCell="A16" sqref="A16"/>
      <selection pane="bottomRight" activeCell="C29" sqref="C29"/>
    </sheetView>
  </sheetViews>
  <sheetFormatPr defaultRowHeight="12.75" x14ac:dyDescent="0.2"/>
  <cols>
    <col min="1" max="1" width="36.25" customWidth="1"/>
    <col min="2" max="2" width="12.625" bestFit="1" customWidth="1"/>
    <col min="3" max="3" width="13.25" customWidth="1"/>
    <col min="4" max="7" width="12.625" bestFit="1" customWidth="1"/>
    <col min="8" max="13" width="13.375" bestFit="1" customWidth="1"/>
    <col min="14" max="14" width="13" customWidth="1"/>
    <col min="15" max="15" width="13.25" bestFit="1" customWidth="1"/>
    <col min="16" max="16" width="12.625" bestFit="1" customWidth="1"/>
    <col min="17" max="17" width="11.25" bestFit="1" customWidth="1"/>
    <col min="18" max="18" width="12.625" bestFit="1" customWidth="1"/>
  </cols>
  <sheetData>
    <row r="1" spans="1:16" hidden="1" x14ac:dyDescent="0.2">
      <c r="A1" t="s">
        <v>12</v>
      </c>
      <c r="B1" s="8" t="s">
        <v>11</v>
      </c>
      <c r="C1" s="8" t="s">
        <v>13</v>
      </c>
      <c r="D1" s="8" t="s">
        <v>14</v>
      </c>
      <c r="E1" s="8" t="s">
        <v>15</v>
      </c>
      <c r="F1" s="8" t="s">
        <v>16</v>
      </c>
      <c r="G1" s="8" t="s">
        <v>17</v>
      </c>
      <c r="H1" s="8" t="s">
        <v>18</v>
      </c>
      <c r="I1" s="8" t="s">
        <v>19</v>
      </c>
      <c r="J1" s="8" t="s">
        <v>20</v>
      </c>
      <c r="K1" s="8" t="s">
        <v>21</v>
      </c>
      <c r="L1" s="8" t="s">
        <v>22</v>
      </c>
      <c r="M1" s="8" t="s">
        <v>23</v>
      </c>
      <c r="N1" s="7" t="s">
        <v>4</v>
      </c>
    </row>
    <row r="2" spans="1:16" ht="13.5" hidden="1" thickBot="1" x14ac:dyDescent="0.25">
      <c r="A2" s="2" t="s">
        <v>9</v>
      </c>
      <c r="B2" s="3">
        <f t="shared" ref="B2:M2" si="0">SUM(B33:B48)</f>
        <v>21667.46</v>
      </c>
      <c r="C2" s="3">
        <f t="shared" si="0"/>
        <v>19887.419999999998</v>
      </c>
      <c r="D2" s="3">
        <f t="shared" si="0"/>
        <v>195973.37999999998</v>
      </c>
      <c r="E2" s="3">
        <f t="shared" si="0"/>
        <v>779454.86999999988</v>
      </c>
      <c r="F2" s="3">
        <f t="shared" si="0"/>
        <v>265788.81999999995</v>
      </c>
      <c r="G2" s="3">
        <f t="shared" si="0"/>
        <v>89644.180000000022</v>
      </c>
      <c r="H2" s="3">
        <f t="shared" si="0"/>
        <v>51499.320000000029</v>
      </c>
      <c r="I2" s="3">
        <f t="shared" si="0"/>
        <v>27672.270000000015</v>
      </c>
      <c r="J2" s="5">
        <f t="shared" si="0"/>
        <v>79771.810000000027</v>
      </c>
      <c r="K2" s="3">
        <f t="shared" si="0"/>
        <v>634395.39</v>
      </c>
      <c r="L2" s="3">
        <f t="shared" si="0"/>
        <v>174104.12000000002</v>
      </c>
      <c r="M2" s="4">
        <f t="shared" si="0"/>
        <v>72160.21000000005</v>
      </c>
      <c r="N2" s="1">
        <f>SUM(B2:M2)</f>
        <v>2412019.25</v>
      </c>
    </row>
    <row r="3" spans="1:16" ht="13.5" hidden="1" thickBot="1" x14ac:dyDescent="0.25">
      <c r="A3" s="2" t="s">
        <v>8</v>
      </c>
      <c r="B3" s="4" t="e">
        <f>#REF!</f>
        <v>#REF!</v>
      </c>
      <c r="C3" s="4" t="e">
        <f>#REF!</f>
        <v>#REF!</v>
      </c>
      <c r="D3" s="4" t="e">
        <f>#REF!</f>
        <v>#REF!</v>
      </c>
      <c r="E3" s="4" t="e">
        <f>#REF!</f>
        <v>#REF!</v>
      </c>
      <c r="F3" s="4" t="e">
        <f>#REF!</f>
        <v>#REF!</v>
      </c>
      <c r="G3" s="3" t="e">
        <f>#REF!</f>
        <v>#REF!</v>
      </c>
      <c r="H3" s="4" t="e">
        <f>#REF!</f>
        <v>#REF!</v>
      </c>
      <c r="I3" s="4" t="e">
        <f>#REF!</f>
        <v>#REF!</v>
      </c>
      <c r="J3" s="4" t="e">
        <f>#REF!</f>
        <v>#REF!</v>
      </c>
      <c r="K3" s="3" t="e">
        <f>#REF!</f>
        <v>#REF!</v>
      </c>
      <c r="L3" s="4" t="e">
        <f>#REF!</f>
        <v>#REF!</v>
      </c>
      <c r="M3" s="3" t="e">
        <f>#REF!</f>
        <v>#REF!</v>
      </c>
      <c r="N3" s="1"/>
    </row>
    <row r="4" spans="1:16" ht="13.5" hidden="1" thickBot="1" x14ac:dyDescent="0.25">
      <c r="A4" s="2" t="s">
        <v>0</v>
      </c>
      <c r="B4" s="3" t="e">
        <f>B3</f>
        <v>#REF!</v>
      </c>
      <c r="C4" s="3" t="e">
        <f>B4+C3</f>
        <v>#REF!</v>
      </c>
      <c r="D4" s="3" t="e">
        <f t="shared" ref="D4:M4" si="1">C4+D3</f>
        <v>#REF!</v>
      </c>
      <c r="E4" s="3" t="e">
        <f t="shared" si="1"/>
        <v>#REF!</v>
      </c>
      <c r="F4" s="3" t="e">
        <f t="shared" si="1"/>
        <v>#REF!</v>
      </c>
      <c r="G4" s="3" t="e">
        <f t="shared" si="1"/>
        <v>#REF!</v>
      </c>
      <c r="H4" s="3" t="e">
        <f t="shared" si="1"/>
        <v>#REF!</v>
      </c>
      <c r="I4" s="3" t="e">
        <f t="shared" si="1"/>
        <v>#REF!</v>
      </c>
      <c r="J4" s="3" t="e">
        <f t="shared" si="1"/>
        <v>#REF!</v>
      </c>
      <c r="K4" s="3" t="e">
        <f t="shared" si="1"/>
        <v>#REF!</v>
      </c>
      <c r="L4" s="3" t="e">
        <f t="shared" si="1"/>
        <v>#REF!</v>
      </c>
      <c r="M4" s="3" t="e">
        <f t="shared" si="1"/>
        <v>#REF!</v>
      </c>
      <c r="N4" s="1" t="e">
        <f>M4</f>
        <v>#REF!</v>
      </c>
    </row>
    <row r="5" spans="1:16" ht="13.5" hidden="1" thickBot="1" x14ac:dyDescent="0.25">
      <c r="A5" s="2" t="s">
        <v>1</v>
      </c>
      <c r="B5" s="3">
        <f>B2</f>
        <v>21667.46</v>
      </c>
      <c r="C5" s="3">
        <f t="shared" ref="C5:M5" si="2">B5+C2</f>
        <v>41554.879999999997</v>
      </c>
      <c r="D5" s="3">
        <f t="shared" si="2"/>
        <v>237528.25999999998</v>
      </c>
      <c r="E5" s="3">
        <f t="shared" si="2"/>
        <v>1016983.1299999999</v>
      </c>
      <c r="F5" s="3">
        <f t="shared" si="2"/>
        <v>1282771.9499999997</v>
      </c>
      <c r="G5" s="3">
        <f t="shared" si="2"/>
        <v>1372416.1299999997</v>
      </c>
      <c r="H5" s="3">
        <f t="shared" si="2"/>
        <v>1423915.4499999997</v>
      </c>
      <c r="I5" s="3">
        <f t="shared" si="2"/>
        <v>1451587.7199999997</v>
      </c>
      <c r="J5" s="3">
        <f t="shared" si="2"/>
        <v>1531359.5299999998</v>
      </c>
      <c r="K5" s="3">
        <f t="shared" si="2"/>
        <v>2165754.92</v>
      </c>
      <c r="L5" s="3">
        <f t="shared" si="2"/>
        <v>2339859.04</v>
      </c>
      <c r="M5" s="3">
        <f t="shared" si="2"/>
        <v>2412019.25</v>
      </c>
    </row>
    <row r="6" spans="1:16" ht="13.5" hidden="1" thickBot="1" x14ac:dyDescent="0.25">
      <c r="A6" s="2" t="s">
        <v>10</v>
      </c>
      <c r="B6" s="3" t="e">
        <f>B5-B4</f>
        <v>#REF!</v>
      </c>
      <c r="C6" s="3" t="e">
        <f t="shared" ref="C6:M6" si="3">C5-C4</f>
        <v>#REF!</v>
      </c>
      <c r="D6" s="3" t="e">
        <f t="shared" si="3"/>
        <v>#REF!</v>
      </c>
      <c r="E6" s="3" t="e">
        <f t="shared" si="3"/>
        <v>#REF!</v>
      </c>
      <c r="F6" s="3" t="e">
        <f t="shared" si="3"/>
        <v>#REF!</v>
      </c>
      <c r="G6" s="3" t="e">
        <f t="shared" si="3"/>
        <v>#REF!</v>
      </c>
      <c r="H6" s="3" t="e">
        <f t="shared" si="3"/>
        <v>#REF!</v>
      </c>
      <c r="I6" s="3" t="e">
        <f t="shared" si="3"/>
        <v>#REF!</v>
      </c>
      <c r="J6" s="3" t="e">
        <f t="shared" si="3"/>
        <v>#REF!</v>
      </c>
      <c r="K6" s="3" t="e">
        <f t="shared" si="3"/>
        <v>#REF!</v>
      </c>
      <c r="L6" s="3" t="e">
        <f t="shared" si="3"/>
        <v>#REF!</v>
      </c>
      <c r="M6" s="3" t="e">
        <f t="shared" si="3"/>
        <v>#REF!</v>
      </c>
    </row>
    <row r="7" spans="1:16" ht="13.5" hidden="1" thickBot="1" x14ac:dyDescent="0.25">
      <c r="A7" s="2" t="s">
        <v>7</v>
      </c>
      <c r="B7" s="3" t="e">
        <f>N4/12</f>
        <v>#REF!</v>
      </c>
      <c r="C7" s="3" t="e">
        <f>B7+($N$4/12)</f>
        <v>#REF!</v>
      </c>
      <c r="D7" s="3" t="e">
        <f t="shared" ref="D7:M7" si="4">C7+($N$4/12)</f>
        <v>#REF!</v>
      </c>
      <c r="E7" s="3" t="e">
        <f t="shared" si="4"/>
        <v>#REF!</v>
      </c>
      <c r="F7" s="3" t="e">
        <f t="shared" si="4"/>
        <v>#REF!</v>
      </c>
      <c r="G7" s="3" t="e">
        <f t="shared" si="4"/>
        <v>#REF!</v>
      </c>
      <c r="H7" s="3" t="e">
        <f t="shared" si="4"/>
        <v>#REF!</v>
      </c>
      <c r="I7" s="3" t="e">
        <f t="shared" si="4"/>
        <v>#REF!</v>
      </c>
      <c r="J7" s="3" t="e">
        <f t="shared" si="4"/>
        <v>#REF!</v>
      </c>
      <c r="K7" s="3" t="e">
        <f t="shared" si="4"/>
        <v>#REF!</v>
      </c>
      <c r="L7" s="3" t="e">
        <f t="shared" si="4"/>
        <v>#REF!</v>
      </c>
      <c r="M7" s="3" t="e">
        <f t="shared" si="4"/>
        <v>#REF!</v>
      </c>
      <c r="N7" s="1">
        <f>SUM(B8:M8)</f>
        <v>3315308.4499999997</v>
      </c>
    </row>
    <row r="8" spans="1:16" ht="13.5" hidden="1" thickBot="1" x14ac:dyDescent="0.25">
      <c r="A8" s="2" t="s">
        <v>25</v>
      </c>
      <c r="B8" s="3">
        <f t="shared" ref="B8:M8" si="5">SUM(B53:B71)</f>
        <v>180057.68000000002</v>
      </c>
      <c r="C8" s="3">
        <f t="shared" si="5"/>
        <v>186441.3</v>
      </c>
      <c r="D8" s="3">
        <f t="shared" si="5"/>
        <v>206143.83000000002</v>
      </c>
      <c r="E8" s="3">
        <f t="shared" si="5"/>
        <v>207229.01</v>
      </c>
      <c r="F8" s="3">
        <f t="shared" si="5"/>
        <v>218119.01</v>
      </c>
      <c r="G8" s="3">
        <f t="shared" si="5"/>
        <v>228889.01</v>
      </c>
      <c r="H8" s="3">
        <f t="shared" si="5"/>
        <v>305511.70999999996</v>
      </c>
      <c r="I8" s="3">
        <f t="shared" si="5"/>
        <v>421793.86</v>
      </c>
      <c r="J8" s="6">
        <f t="shared" si="5"/>
        <v>315298.42</v>
      </c>
      <c r="K8" s="3">
        <f t="shared" si="5"/>
        <v>335204.55</v>
      </c>
      <c r="L8" s="5">
        <f t="shared" si="5"/>
        <v>337668.70999999996</v>
      </c>
      <c r="M8" s="4">
        <f t="shared" si="5"/>
        <v>372951.36000000004</v>
      </c>
      <c r="N8" s="1"/>
    </row>
    <row r="9" spans="1:16" ht="13.5" hidden="1" thickBot="1" x14ac:dyDescent="0.25">
      <c r="A9" s="2" t="s">
        <v>24</v>
      </c>
      <c r="B9" s="4">
        <v>53971</v>
      </c>
      <c r="C9" s="4">
        <v>44625</v>
      </c>
      <c r="D9" s="4">
        <v>40702</v>
      </c>
      <c r="E9" s="4">
        <v>40608</v>
      </c>
      <c r="F9" s="4">
        <v>51680</v>
      </c>
      <c r="G9" s="3">
        <v>40516</v>
      </c>
      <c r="H9" s="4">
        <v>54471</v>
      </c>
      <c r="I9" s="3">
        <v>71858</v>
      </c>
      <c r="J9" s="4">
        <v>56730</v>
      </c>
      <c r="K9" s="4">
        <v>61546</v>
      </c>
      <c r="L9" s="4">
        <v>53076</v>
      </c>
      <c r="M9" s="3">
        <v>53702</v>
      </c>
    </row>
    <row r="10" spans="1:16" ht="13.5" hidden="1" thickBot="1" x14ac:dyDescent="0.25">
      <c r="A10" s="2" t="s">
        <v>0</v>
      </c>
      <c r="B10" s="3">
        <f>B9</f>
        <v>53971</v>
      </c>
      <c r="C10" s="3">
        <f t="shared" ref="C10:M10" si="6">B10+C9</f>
        <v>98596</v>
      </c>
      <c r="D10" s="3">
        <f t="shared" si="6"/>
        <v>139298</v>
      </c>
      <c r="E10" s="3">
        <f t="shared" si="6"/>
        <v>179906</v>
      </c>
      <c r="F10" s="3">
        <f t="shared" si="6"/>
        <v>231586</v>
      </c>
      <c r="G10" s="3">
        <f t="shared" si="6"/>
        <v>272102</v>
      </c>
      <c r="H10" s="3">
        <f t="shared" si="6"/>
        <v>326573</v>
      </c>
      <c r="I10" s="3">
        <f t="shared" si="6"/>
        <v>398431</v>
      </c>
      <c r="J10" s="3">
        <f t="shared" si="6"/>
        <v>455161</v>
      </c>
      <c r="K10" s="3">
        <f t="shared" si="6"/>
        <v>516707</v>
      </c>
      <c r="L10" s="3">
        <f t="shared" si="6"/>
        <v>569783</v>
      </c>
      <c r="M10" s="3">
        <f t="shared" si="6"/>
        <v>623485</v>
      </c>
    </row>
    <row r="11" spans="1:16" ht="13.5" hidden="1" thickBot="1" x14ac:dyDescent="0.25">
      <c r="A11" s="2" t="s">
        <v>1</v>
      </c>
      <c r="B11" s="3">
        <f>B8</f>
        <v>180057.68000000002</v>
      </c>
      <c r="C11" s="3">
        <f t="shared" ref="C11:M11" si="7">B11+C8</f>
        <v>366498.98</v>
      </c>
      <c r="D11" s="3">
        <f t="shared" si="7"/>
        <v>572642.81000000006</v>
      </c>
      <c r="E11" s="3">
        <f t="shared" si="7"/>
        <v>779871.82000000007</v>
      </c>
      <c r="F11" s="3">
        <f t="shared" si="7"/>
        <v>997990.83000000007</v>
      </c>
      <c r="G11" s="3">
        <f t="shared" si="7"/>
        <v>1226879.8400000001</v>
      </c>
      <c r="H11" s="3">
        <f t="shared" si="7"/>
        <v>1532391.55</v>
      </c>
      <c r="I11" s="3">
        <f t="shared" si="7"/>
        <v>1954185.4100000001</v>
      </c>
      <c r="J11" s="3">
        <f t="shared" si="7"/>
        <v>2269483.83</v>
      </c>
      <c r="K11" s="3">
        <f t="shared" si="7"/>
        <v>2604688.38</v>
      </c>
      <c r="L11" s="3">
        <f t="shared" si="7"/>
        <v>2942357.09</v>
      </c>
      <c r="M11" s="3">
        <f t="shared" si="7"/>
        <v>3315308.4499999997</v>
      </c>
    </row>
    <row r="12" spans="1:16" ht="13.5" hidden="1" thickBot="1" x14ac:dyDescent="0.25">
      <c r="A12" s="2" t="s">
        <v>10</v>
      </c>
      <c r="B12" s="3">
        <f>B10-B11</f>
        <v>-126086.68000000002</v>
      </c>
      <c r="C12" s="3">
        <f t="shared" ref="C12:M12" si="8">C10-C11</f>
        <v>-267902.98</v>
      </c>
      <c r="D12" s="3">
        <f t="shared" si="8"/>
        <v>-433344.81000000006</v>
      </c>
      <c r="E12" s="3">
        <f t="shared" si="8"/>
        <v>-599965.82000000007</v>
      </c>
      <c r="F12" s="3">
        <f t="shared" si="8"/>
        <v>-766404.83000000007</v>
      </c>
      <c r="G12" s="3">
        <f t="shared" si="8"/>
        <v>-954777.84000000008</v>
      </c>
      <c r="H12" s="3">
        <f t="shared" si="8"/>
        <v>-1205818.55</v>
      </c>
      <c r="I12" s="3">
        <f t="shared" si="8"/>
        <v>-1555754.4100000001</v>
      </c>
      <c r="J12" s="3">
        <f t="shared" si="8"/>
        <v>-1814322.83</v>
      </c>
      <c r="K12" s="3">
        <f t="shared" si="8"/>
        <v>-2087981.38</v>
      </c>
      <c r="L12" s="3">
        <f t="shared" si="8"/>
        <v>-2372574.09</v>
      </c>
      <c r="M12" s="3">
        <f t="shared" si="8"/>
        <v>-2691823.4499999997</v>
      </c>
    </row>
    <row r="13" spans="1:16" ht="13.5" hidden="1" thickBot="1" x14ac:dyDescent="0.25">
      <c r="A13" s="2" t="s">
        <v>7</v>
      </c>
      <c r="B13" s="3">
        <f>M10/12</f>
        <v>51957.083333333336</v>
      </c>
      <c r="C13" s="3">
        <f>B13+($M$10/12)</f>
        <v>103914.16666666667</v>
      </c>
      <c r="D13" s="3">
        <f t="shared" ref="D13:M13" si="9">C13+($M$10/12)</f>
        <v>155871.25</v>
      </c>
      <c r="E13" s="3">
        <f t="shared" si="9"/>
        <v>207828.33333333334</v>
      </c>
      <c r="F13" s="3">
        <f t="shared" si="9"/>
        <v>259785.41666666669</v>
      </c>
      <c r="G13" s="3">
        <f t="shared" si="9"/>
        <v>311742.5</v>
      </c>
      <c r="H13" s="3">
        <f t="shared" si="9"/>
        <v>363699.58333333331</v>
      </c>
      <c r="I13" s="3">
        <f t="shared" si="9"/>
        <v>415656.66666666663</v>
      </c>
      <c r="J13" s="3">
        <f t="shared" si="9"/>
        <v>467613.74999999994</v>
      </c>
      <c r="K13" s="3">
        <f t="shared" si="9"/>
        <v>519570.83333333326</v>
      </c>
      <c r="L13" s="3">
        <f t="shared" si="9"/>
        <v>571527.91666666663</v>
      </c>
      <c r="M13" s="3">
        <f t="shared" si="9"/>
        <v>623485</v>
      </c>
    </row>
    <row r="14" spans="1:16" hidden="1" x14ac:dyDescent="0.2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6" x14ac:dyDescent="0.2">
      <c r="A15" s="18" t="s">
        <v>56</v>
      </c>
      <c r="B15" s="9" t="s">
        <v>11</v>
      </c>
      <c r="C15" s="9" t="s">
        <v>13</v>
      </c>
      <c r="D15" s="9" t="s">
        <v>14</v>
      </c>
      <c r="E15" s="9" t="s">
        <v>15</v>
      </c>
      <c r="F15" s="9" t="s">
        <v>16</v>
      </c>
      <c r="G15" s="9" t="s">
        <v>17</v>
      </c>
      <c r="H15" s="9" t="s">
        <v>18</v>
      </c>
      <c r="I15" s="9" t="s">
        <v>19</v>
      </c>
      <c r="J15" s="9" t="s">
        <v>20</v>
      </c>
      <c r="K15" s="9" t="s">
        <v>21</v>
      </c>
      <c r="L15" s="9" t="s">
        <v>22</v>
      </c>
      <c r="M15" s="9" t="s">
        <v>23</v>
      </c>
      <c r="N15" s="7" t="s">
        <v>4</v>
      </c>
      <c r="O15" s="53" t="s">
        <v>87</v>
      </c>
    </row>
    <row r="16" spans="1:16" x14ac:dyDescent="0.2">
      <c r="A16" s="40" t="s">
        <v>68</v>
      </c>
      <c r="B16" s="29">
        <f t="shared" ref="B16:L16" si="10">+SUM(B33,B36,B39,B42,B45,B48)</f>
        <v>10833.73</v>
      </c>
      <c r="C16" s="29">
        <f t="shared" si="10"/>
        <v>9320.93</v>
      </c>
      <c r="D16" s="29">
        <f t="shared" si="10"/>
        <v>113859.9</v>
      </c>
      <c r="E16" s="29">
        <f t="shared" si="10"/>
        <v>397847.15</v>
      </c>
      <c r="F16" s="29">
        <f t="shared" si="10"/>
        <v>129309.47</v>
      </c>
      <c r="G16" s="29">
        <f t="shared" si="10"/>
        <v>36061.839999999997</v>
      </c>
      <c r="H16" s="29">
        <f t="shared" si="10"/>
        <v>18294.940000000002</v>
      </c>
      <c r="I16" s="29">
        <f t="shared" si="10"/>
        <v>8790.4000000000015</v>
      </c>
      <c r="J16" s="29">
        <f>+SUM(J33,J36,J39,J42,J45,J48)</f>
        <v>35258.93</v>
      </c>
      <c r="K16" s="29">
        <f t="shared" si="10"/>
        <v>315550.21000000002</v>
      </c>
      <c r="L16" s="29">
        <f t="shared" si="10"/>
        <v>82205.920000000013</v>
      </c>
      <c r="M16" s="29">
        <f>+SUM(M33,M36,M39,M42,M45,M48)</f>
        <v>26645.460000000003</v>
      </c>
      <c r="N16" s="1"/>
      <c r="O16" s="46" t="s">
        <v>101</v>
      </c>
      <c r="P16">
        <v>73065</v>
      </c>
    </row>
    <row r="17" spans="1:16" x14ac:dyDescent="0.2">
      <c r="A17" s="33" t="s">
        <v>62</v>
      </c>
      <c r="B17" s="16">
        <f>B16</f>
        <v>10833.73</v>
      </c>
      <c r="C17" s="16">
        <f t="shared" ref="C17:L17" si="11">B17+C16</f>
        <v>20154.66</v>
      </c>
      <c r="D17" s="16">
        <f t="shared" si="11"/>
        <v>134014.56</v>
      </c>
      <c r="E17" s="16">
        <f t="shared" si="11"/>
        <v>531861.71</v>
      </c>
      <c r="F17" s="16">
        <f t="shared" si="11"/>
        <v>661171.17999999993</v>
      </c>
      <c r="G17" s="16">
        <f t="shared" si="11"/>
        <v>697233.0199999999</v>
      </c>
      <c r="H17" s="16">
        <f t="shared" si="11"/>
        <v>715527.96</v>
      </c>
      <c r="I17" s="16">
        <f t="shared" si="11"/>
        <v>724318.36</v>
      </c>
      <c r="J17" s="16">
        <f t="shared" si="11"/>
        <v>759577.29</v>
      </c>
      <c r="K17" s="16">
        <f t="shared" si="11"/>
        <v>1075127.5</v>
      </c>
      <c r="L17" s="16">
        <f t="shared" si="11"/>
        <v>1157333.42</v>
      </c>
      <c r="M17" s="16">
        <f>L17+M16</f>
        <v>1183978.8799999999</v>
      </c>
    </row>
    <row r="18" spans="1:16" x14ac:dyDescent="0.2">
      <c r="A18" s="33" t="s">
        <v>69</v>
      </c>
      <c r="B18" s="16">
        <f>SUM(B34,B37,B40,B43,B46,B49)</f>
        <v>9588.17</v>
      </c>
      <c r="C18" s="16">
        <f t="shared" ref="C18:M18" si="12">SUM(C34,C37,C40,C43,C46,C49)</f>
        <v>42312.91</v>
      </c>
      <c r="D18" s="16">
        <f t="shared" si="12"/>
        <v>98352.91</v>
      </c>
      <c r="E18" s="16">
        <f t="shared" si="12"/>
        <v>374437.84</v>
      </c>
      <c r="F18" s="16">
        <f t="shared" si="12"/>
        <v>118958.85</v>
      </c>
      <c r="G18" s="16">
        <f t="shared" si="12"/>
        <v>38672.9</v>
      </c>
      <c r="H18" s="16">
        <f t="shared" si="12"/>
        <v>23112.91</v>
      </c>
      <c r="I18" s="16">
        <f t="shared" si="12"/>
        <v>9627.92</v>
      </c>
      <c r="J18" s="16">
        <f>SUM(J34,J37,J40,J43,J46,J49)</f>
        <v>65655.91</v>
      </c>
      <c r="K18" s="16">
        <f t="shared" si="12"/>
        <v>317022.90000000002</v>
      </c>
      <c r="L18" s="16">
        <f t="shared" si="12"/>
        <v>80898.91</v>
      </c>
      <c r="M18" s="16">
        <f t="shared" si="12"/>
        <v>19324.87</v>
      </c>
      <c r="N18" s="57">
        <f>SUM(B18:M18)</f>
        <v>1197967.0000000002</v>
      </c>
      <c r="O18" s="1">
        <f>N18+73065</f>
        <v>1271032.0000000002</v>
      </c>
    </row>
    <row r="19" spans="1:16" x14ac:dyDescent="0.2">
      <c r="A19" s="33" t="s">
        <v>61</v>
      </c>
      <c r="B19" s="16">
        <f>B18</f>
        <v>9588.17</v>
      </c>
      <c r="C19" s="16">
        <f>B19+C18</f>
        <v>51901.08</v>
      </c>
      <c r="D19" s="16">
        <f t="shared" ref="D19:M19" si="13">C19+D18</f>
        <v>150253.99</v>
      </c>
      <c r="E19" s="16">
        <f>D19+E18</f>
        <v>524691.83000000007</v>
      </c>
      <c r="F19" s="16">
        <f t="shared" si="13"/>
        <v>643650.68000000005</v>
      </c>
      <c r="G19" s="16">
        <f t="shared" si="13"/>
        <v>682323.58000000007</v>
      </c>
      <c r="H19" s="16">
        <f t="shared" si="13"/>
        <v>705436.49000000011</v>
      </c>
      <c r="I19" s="16">
        <f t="shared" si="13"/>
        <v>715064.41000000015</v>
      </c>
      <c r="J19" s="16">
        <f t="shared" si="13"/>
        <v>780720.32000000018</v>
      </c>
      <c r="K19" s="16">
        <f t="shared" si="13"/>
        <v>1097743.2200000002</v>
      </c>
      <c r="L19" s="16">
        <f t="shared" si="13"/>
        <v>1178642.1300000001</v>
      </c>
      <c r="M19" s="16">
        <f t="shared" si="13"/>
        <v>1197967.0000000002</v>
      </c>
      <c r="N19" s="1"/>
    </row>
    <row r="20" spans="1:16" x14ac:dyDescent="0.2">
      <c r="A20" s="33" t="s">
        <v>63</v>
      </c>
      <c r="B20" s="16">
        <f t="shared" ref="B20:M20" si="14">B17-B19</f>
        <v>1245.5599999999995</v>
      </c>
      <c r="C20" s="16">
        <f t="shared" si="14"/>
        <v>-31746.420000000002</v>
      </c>
      <c r="D20" s="16">
        <f t="shared" si="14"/>
        <v>-16239.429999999993</v>
      </c>
      <c r="E20" s="16">
        <f t="shared" si="14"/>
        <v>7169.8799999998882</v>
      </c>
      <c r="F20" s="16">
        <f t="shared" si="14"/>
        <v>17520.499999999884</v>
      </c>
      <c r="G20" s="16">
        <f t="shared" si="14"/>
        <v>14909.439999999828</v>
      </c>
      <c r="H20" s="16">
        <f t="shared" si="14"/>
        <v>10091.469999999856</v>
      </c>
      <c r="I20" s="16">
        <f t="shared" si="14"/>
        <v>9253.949999999837</v>
      </c>
      <c r="J20" s="16">
        <f>J17-J19</f>
        <v>-21143.030000000144</v>
      </c>
      <c r="K20" s="16">
        <f t="shared" si="14"/>
        <v>-22615.720000000205</v>
      </c>
      <c r="L20" s="16">
        <f t="shared" si="14"/>
        <v>-21308.710000000196</v>
      </c>
      <c r="M20" s="16">
        <f t="shared" si="14"/>
        <v>-13988.120000000345</v>
      </c>
    </row>
    <row r="21" spans="1:16" x14ac:dyDescent="0.2">
      <c r="A21" s="17" t="s">
        <v>27</v>
      </c>
      <c r="B21" s="16">
        <v>0</v>
      </c>
      <c r="C21" s="16">
        <f t="shared" ref="C21:M21" si="15">B21+($M$19/12)</f>
        <v>99830.583333333358</v>
      </c>
      <c r="D21" s="16">
        <f t="shared" si="15"/>
        <v>199661.16666666672</v>
      </c>
      <c r="E21" s="16">
        <f t="shared" si="15"/>
        <v>299491.75000000006</v>
      </c>
      <c r="F21" s="16">
        <f t="shared" si="15"/>
        <v>399322.33333333343</v>
      </c>
      <c r="G21" s="16">
        <f t="shared" si="15"/>
        <v>499152.9166666668</v>
      </c>
      <c r="H21" s="16">
        <f t="shared" si="15"/>
        <v>598983.50000000012</v>
      </c>
      <c r="I21" s="16">
        <f t="shared" si="15"/>
        <v>698814.08333333349</v>
      </c>
      <c r="J21" s="16">
        <f t="shared" si="15"/>
        <v>798644.66666666686</v>
      </c>
      <c r="K21" s="16">
        <f t="shared" si="15"/>
        <v>898475.25000000023</v>
      </c>
      <c r="L21" s="16">
        <f t="shared" si="15"/>
        <v>998305.8333333336</v>
      </c>
      <c r="M21" s="16">
        <f t="shared" si="15"/>
        <v>1098136.416666667</v>
      </c>
      <c r="N21" s="1"/>
    </row>
    <row r="22" spans="1:16" x14ac:dyDescent="0.2">
      <c r="A22" s="40" t="s">
        <v>70</v>
      </c>
      <c r="B22" s="29">
        <f>-SUM(B53,B56,B59,B62,B65,B68,B71)</f>
        <v>-78182.909999999989</v>
      </c>
      <c r="C22" s="29">
        <f t="shared" ref="C22:G22" si="16">-SUM(C53,C56,C59,C62,C65,C68,C71)</f>
        <v>-73896.429999999993</v>
      </c>
      <c r="D22" s="29">
        <f t="shared" si="16"/>
        <v>-90310.84</v>
      </c>
      <c r="E22" s="29">
        <f t="shared" si="16"/>
        <v>-102286.25000000001</v>
      </c>
      <c r="F22" s="29">
        <f t="shared" si="16"/>
        <v>-64533.279999999999</v>
      </c>
      <c r="G22" s="29">
        <f t="shared" si="16"/>
        <v>-94678.590000000011</v>
      </c>
      <c r="H22" s="29">
        <f t="shared" ref="H22:M22" si="17">-SUM(H53,H56,H59,H62,H65,H68,H71)</f>
        <v>-79949.919999999998</v>
      </c>
      <c r="I22" s="29">
        <f t="shared" si="17"/>
        <v>-144451.53</v>
      </c>
      <c r="J22" s="29">
        <f t="shared" si="17"/>
        <v>-80066.740000000005</v>
      </c>
      <c r="K22" s="29">
        <f t="shared" si="17"/>
        <v>-84337.88</v>
      </c>
      <c r="L22" s="29">
        <f t="shared" si="17"/>
        <v>-101004.89</v>
      </c>
      <c r="M22" s="29">
        <f t="shared" si="17"/>
        <v>-159854.10999999999</v>
      </c>
      <c r="N22" s="1">
        <f>SUM(B22:M22)</f>
        <v>-1153553.3700000001</v>
      </c>
      <c r="O22" s="46"/>
    </row>
    <row r="23" spans="1:16" x14ac:dyDescent="0.2">
      <c r="A23" s="33" t="s">
        <v>65</v>
      </c>
      <c r="B23" s="16">
        <f>B22</f>
        <v>-78182.909999999989</v>
      </c>
      <c r="C23" s="16">
        <f>B23+C22</f>
        <v>-152079.33999999997</v>
      </c>
      <c r="D23" s="16">
        <f t="shared" ref="D23:M23" si="18">C23+D22</f>
        <v>-242390.17999999996</v>
      </c>
      <c r="E23" s="16">
        <f t="shared" si="18"/>
        <v>-344676.43</v>
      </c>
      <c r="F23" s="16">
        <f t="shared" si="18"/>
        <v>-409209.70999999996</v>
      </c>
      <c r="G23" s="16">
        <f t="shared" si="18"/>
        <v>-503888.3</v>
      </c>
      <c r="H23" s="16">
        <f t="shared" si="18"/>
        <v>-583838.22</v>
      </c>
      <c r="I23" s="16">
        <f t="shared" si="18"/>
        <v>-728289.75</v>
      </c>
      <c r="J23" s="16">
        <f t="shared" si="18"/>
        <v>-808356.49</v>
      </c>
      <c r="K23" s="16">
        <f t="shared" si="18"/>
        <v>-892694.37</v>
      </c>
      <c r="L23" s="16">
        <f t="shared" si="18"/>
        <v>-993699.26</v>
      </c>
      <c r="M23" s="16">
        <f t="shared" si="18"/>
        <v>-1153553.3700000001</v>
      </c>
      <c r="N23" s="1"/>
    </row>
    <row r="24" spans="1:16" x14ac:dyDescent="0.2">
      <c r="A24" s="33" t="s">
        <v>71</v>
      </c>
      <c r="B24" s="16">
        <f>-SUM(B54,B57,B60,B63,B66,B69,B72)</f>
        <v>-91776.58</v>
      </c>
      <c r="C24" s="16">
        <f t="shared" ref="C24:M24" si="19">-SUM(C54,C57,C60,C63,C66,C69,C72)</f>
        <v>-81622.44</v>
      </c>
      <c r="D24" s="16">
        <f t="shared" si="19"/>
        <v>-88076.209999999992</v>
      </c>
      <c r="E24" s="16">
        <f t="shared" si="19"/>
        <v>-103209.22</v>
      </c>
      <c r="F24" s="16">
        <f t="shared" si="19"/>
        <v>-94268.45</v>
      </c>
      <c r="G24" s="16">
        <f t="shared" si="19"/>
        <v>-92613.38</v>
      </c>
      <c r="H24" s="16">
        <f t="shared" si="19"/>
        <v>-130677.04</v>
      </c>
      <c r="I24" s="16">
        <f t="shared" si="19"/>
        <v>-158638.57</v>
      </c>
      <c r="J24" s="16">
        <f t="shared" si="19"/>
        <v>-106181.56</v>
      </c>
      <c r="K24" s="16">
        <f t="shared" si="19"/>
        <v>-105650.73</v>
      </c>
      <c r="L24" s="16">
        <f t="shared" si="19"/>
        <v>-91905.13</v>
      </c>
      <c r="M24" s="16">
        <f t="shared" si="19"/>
        <v>-111384.69000000002</v>
      </c>
      <c r="N24" s="1">
        <f>SUM(B24:M24)</f>
        <v>-1256004</v>
      </c>
      <c r="O24" s="1"/>
      <c r="P24" s="1"/>
    </row>
    <row r="25" spans="1:16" x14ac:dyDescent="0.2">
      <c r="A25" s="33" t="s">
        <v>64</v>
      </c>
      <c r="B25" s="16">
        <f>B24</f>
        <v>-91776.58</v>
      </c>
      <c r="C25" s="16">
        <f t="shared" ref="C25:M25" si="20">B25+C24</f>
        <v>-173399.02000000002</v>
      </c>
      <c r="D25" s="16">
        <f t="shared" si="20"/>
        <v>-261475.23</v>
      </c>
      <c r="E25" s="16">
        <f t="shared" si="20"/>
        <v>-364684.45</v>
      </c>
      <c r="F25" s="16">
        <f t="shared" si="20"/>
        <v>-458952.9</v>
      </c>
      <c r="G25" s="16">
        <f t="shared" si="20"/>
        <v>-551566.28</v>
      </c>
      <c r="H25" s="16">
        <f t="shared" si="20"/>
        <v>-682243.32000000007</v>
      </c>
      <c r="I25" s="16">
        <f t="shared" si="20"/>
        <v>-840881.89000000013</v>
      </c>
      <c r="J25" s="16">
        <f t="shared" si="20"/>
        <v>-947063.45000000019</v>
      </c>
      <c r="K25" s="16">
        <f t="shared" si="20"/>
        <v>-1052714.1800000002</v>
      </c>
      <c r="L25" s="16">
        <f t="shared" si="20"/>
        <v>-1144619.31</v>
      </c>
      <c r="M25" s="16">
        <f t="shared" si="20"/>
        <v>-1256004</v>
      </c>
      <c r="N25" s="1"/>
    </row>
    <row r="26" spans="1:16" x14ac:dyDescent="0.2">
      <c r="A26" s="33" t="s">
        <v>66</v>
      </c>
      <c r="B26" s="16">
        <f t="shared" ref="B26:M26" si="21">B23-B25</f>
        <v>13593.670000000013</v>
      </c>
      <c r="C26" s="16">
        <f t="shared" si="21"/>
        <v>21319.680000000051</v>
      </c>
      <c r="D26" s="16">
        <f t="shared" si="21"/>
        <v>19085.050000000047</v>
      </c>
      <c r="E26" s="16">
        <f t="shared" si="21"/>
        <v>20008.020000000019</v>
      </c>
      <c r="F26" s="16">
        <f t="shared" si="21"/>
        <v>49743.190000000061</v>
      </c>
      <c r="G26" s="16">
        <f t="shared" si="21"/>
        <v>47677.98000000004</v>
      </c>
      <c r="H26" s="16">
        <f t="shared" si="21"/>
        <v>98405.100000000093</v>
      </c>
      <c r="I26" s="16">
        <f t="shared" si="21"/>
        <v>112592.14000000013</v>
      </c>
      <c r="J26" s="16">
        <f t="shared" si="21"/>
        <v>138706.9600000002</v>
      </c>
      <c r="K26" s="16">
        <f t="shared" si="21"/>
        <v>160019.81000000017</v>
      </c>
      <c r="L26" s="16">
        <f t="shared" si="21"/>
        <v>150920.05000000005</v>
      </c>
      <c r="M26" s="16">
        <f t="shared" si="21"/>
        <v>102450.62999999989</v>
      </c>
      <c r="N26" s="1"/>
    </row>
    <row r="27" spans="1:16" x14ac:dyDescent="0.2">
      <c r="A27" s="17" t="s">
        <v>26</v>
      </c>
      <c r="B27" s="16">
        <v>0</v>
      </c>
      <c r="C27" s="16">
        <f>B27+($M$25/12)</f>
        <v>-104667</v>
      </c>
      <c r="D27" s="16">
        <f t="shared" ref="D27:M27" si="22">C27+($M$25/12)</f>
        <v>-209334</v>
      </c>
      <c r="E27" s="16">
        <f t="shared" si="22"/>
        <v>-314001</v>
      </c>
      <c r="F27" s="16">
        <f t="shared" si="22"/>
        <v>-418668</v>
      </c>
      <c r="G27" s="16">
        <f t="shared" si="22"/>
        <v>-523335</v>
      </c>
      <c r="H27" s="16">
        <f t="shared" si="22"/>
        <v>-628002</v>
      </c>
      <c r="I27" s="16">
        <f t="shared" si="22"/>
        <v>-732669</v>
      </c>
      <c r="J27" s="16">
        <f t="shared" si="22"/>
        <v>-837336</v>
      </c>
      <c r="K27" s="16">
        <f t="shared" si="22"/>
        <v>-942003</v>
      </c>
      <c r="L27" s="16">
        <f t="shared" si="22"/>
        <v>-1046670</v>
      </c>
      <c r="M27" s="16">
        <f t="shared" si="22"/>
        <v>-1151337</v>
      </c>
    </row>
    <row r="28" spans="1:16" x14ac:dyDescent="0.2">
      <c r="A28" s="33" t="s">
        <v>59</v>
      </c>
      <c r="B28" s="16">
        <f t="shared" ref="B28:M28" si="23">B20+B26</f>
        <v>14839.230000000012</v>
      </c>
      <c r="C28" s="16">
        <f t="shared" si="23"/>
        <v>-10426.739999999951</v>
      </c>
      <c r="D28" s="16">
        <f t="shared" si="23"/>
        <v>2845.6200000000536</v>
      </c>
      <c r="E28" s="16">
        <f t="shared" si="23"/>
        <v>27177.899999999907</v>
      </c>
      <c r="F28" s="16">
        <f t="shared" si="23"/>
        <v>67263.689999999944</v>
      </c>
      <c r="G28" s="16">
        <f t="shared" si="23"/>
        <v>62587.419999999867</v>
      </c>
      <c r="H28" s="16">
        <f t="shared" si="23"/>
        <v>108496.56999999995</v>
      </c>
      <c r="I28" s="16">
        <f t="shared" si="23"/>
        <v>121846.08999999997</v>
      </c>
      <c r="J28" s="16">
        <f t="shared" si="23"/>
        <v>117563.93000000005</v>
      </c>
      <c r="K28" s="16">
        <f t="shared" si="23"/>
        <v>137404.08999999997</v>
      </c>
      <c r="L28" s="16">
        <f t="shared" si="23"/>
        <v>129611.33999999985</v>
      </c>
      <c r="M28" s="16">
        <f t="shared" si="23"/>
        <v>88462.509999999544</v>
      </c>
    </row>
    <row r="29" spans="1:16" x14ac:dyDescent="0.2">
      <c r="A29" s="40" t="s">
        <v>67</v>
      </c>
      <c r="B29" s="29">
        <f>B17+B23</f>
        <v>-67349.179999999993</v>
      </c>
      <c r="C29" s="29">
        <f>C17+C23</f>
        <v>-131924.67999999996</v>
      </c>
      <c r="D29" s="29">
        <f t="shared" ref="D29:I29" si="24">D17+D23</f>
        <v>-108375.61999999997</v>
      </c>
      <c r="E29" s="29">
        <f t="shared" si="24"/>
        <v>187185.27999999997</v>
      </c>
      <c r="F29" s="29">
        <f t="shared" si="24"/>
        <v>251961.46999999997</v>
      </c>
      <c r="G29" s="29">
        <f t="shared" si="24"/>
        <v>193344.71999999991</v>
      </c>
      <c r="H29" s="29">
        <f t="shared" si="24"/>
        <v>131689.74</v>
      </c>
      <c r="I29" s="29">
        <f t="shared" si="24"/>
        <v>-3971.390000000014</v>
      </c>
      <c r="J29" s="29">
        <f>J17+J23</f>
        <v>-48779.199999999953</v>
      </c>
      <c r="K29" s="29">
        <f>K17+K23</f>
        <v>182433.13</v>
      </c>
      <c r="L29" s="29">
        <f>L17+L23</f>
        <v>163634.15999999992</v>
      </c>
      <c r="M29" s="29">
        <f>M17+M23</f>
        <v>30425.509999999776</v>
      </c>
    </row>
    <row r="30" spans="1:16" x14ac:dyDescent="0.2">
      <c r="A30" s="49" t="s">
        <v>28</v>
      </c>
      <c r="B30" s="16">
        <f t="shared" ref="B30:I30" si="25">B19+B25</f>
        <v>-82188.41</v>
      </c>
      <c r="C30" s="16">
        <f t="shared" si="25"/>
        <v>-121497.94000000002</v>
      </c>
      <c r="D30" s="16">
        <f t="shared" si="25"/>
        <v>-111221.24000000002</v>
      </c>
      <c r="E30" s="16">
        <f t="shared" si="25"/>
        <v>160007.38000000006</v>
      </c>
      <c r="F30" s="16">
        <f t="shared" si="25"/>
        <v>184697.78000000003</v>
      </c>
      <c r="G30" s="16">
        <f t="shared" si="25"/>
        <v>130757.30000000005</v>
      </c>
      <c r="H30" s="16">
        <f t="shared" si="25"/>
        <v>23193.170000000042</v>
      </c>
      <c r="I30" s="16">
        <f t="shared" si="25"/>
        <v>-125817.47999999998</v>
      </c>
      <c r="J30" s="16">
        <f>J19+J25</f>
        <v>-166343.13</v>
      </c>
      <c r="K30" s="16">
        <f>K19+K25</f>
        <v>45029.040000000037</v>
      </c>
      <c r="L30" s="16">
        <f>L19+L25</f>
        <v>34022.820000000065</v>
      </c>
      <c r="M30" s="16">
        <f>M19+M25</f>
        <v>-58036.999999999767</v>
      </c>
      <c r="N30" s="1"/>
    </row>
    <row r="31" spans="1:16" x14ac:dyDescent="0.2">
      <c r="A31" s="2"/>
      <c r="B31" s="1">
        <f>SUM(B35,B38,B41,B44,B47,B50)-B20</f>
        <v>0</v>
      </c>
      <c r="C31" s="1">
        <f t="shared" ref="C31:J31" si="26">SUM(C35,C38,C41,C44,C47,C50)-C20</f>
        <v>0</v>
      </c>
      <c r="D31" s="1">
        <f t="shared" si="26"/>
        <v>0</v>
      </c>
      <c r="E31" s="1">
        <f t="shared" si="26"/>
        <v>1.2914824765175581E-10</v>
      </c>
      <c r="F31" s="1">
        <f t="shared" si="26"/>
        <v>1.3096723705530167E-10</v>
      </c>
      <c r="G31" s="1">
        <f t="shared" si="26"/>
        <v>1.9099388737231493E-10</v>
      </c>
      <c r="H31" s="1">
        <f t="shared" si="26"/>
        <v>1.6189005691558123E-10</v>
      </c>
      <c r="I31" s="1">
        <f t="shared" si="26"/>
        <v>1.8189894035458565E-10</v>
      </c>
      <c r="J31" s="1">
        <f t="shared" si="26"/>
        <v>1.6370904631912708E-10</v>
      </c>
      <c r="K31" s="1"/>
      <c r="L31" s="1"/>
      <c r="M31" s="1"/>
      <c r="N31" s="1"/>
    </row>
    <row r="32" spans="1:16" x14ac:dyDescent="0.2">
      <c r="A32" s="10" t="s">
        <v>39</v>
      </c>
      <c r="B32" s="19" t="s">
        <v>11</v>
      </c>
      <c r="C32" s="19" t="s">
        <v>13</v>
      </c>
      <c r="D32" s="19" t="s">
        <v>14</v>
      </c>
      <c r="E32" s="19" t="s">
        <v>15</v>
      </c>
      <c r="F32" s="19" t="s">
        <v>16</v>
      </c>
      <c r="G32" s="19" t="s">
        <v>17</v>
      </c>
      <c r="H32" s="19" t="s">
        <v>18</v>
      </c>
      <c r="I32" s="19" t="s">
        <v>19</v>
      </c>
      <c r="J32" s="19" t="s">
        <v>20</v>
      </c>
      <c r="K32" s="19" t="s">
        <v>21</v>
      </c>
      <c r="L32" s="19" t="s">
        <v>22</v>
      </c>
      <c r="M32" s="19" t="s">
        <v>23</v>
      </c>
      <c r="N32" s="1"/>
      <c r="O32" s="1"/>
    </row>
    <row r="33" spans="1:18" x14ac:dyDescent="0.2">
      <c r="A33" s="38" t="s">
        <v>29</v>
      </c>
      <c r="B33" s="29">
        <v>4744.9399999999996</v>
      </c>
      <c r="C33" s="29">
        <v>8335.9500000000007</v>
      </c>
      <c r="D33" s="37">
        <v>107970.06</v>
      </c>
      <c r="E33" s="29">
        <v>355761.27</v>
      </c>
      <c r="F33" s="29">
        <f>78719.3+738.99</f>
        <v>79458.290000000008</v>
      </c>
      <c r="G33" s="29">
        <v>13464.17</v>
      </c>
      <c r="H33" s="29">
        <v>4676.6099999999997</v>
      </c>
      <c r="I33" s="29">
        <v>5967.02</v>
      </c>
      <c r="J33" s="29">
        <v>18920.72</v>
      </c>
      <c r="K33" s="29">
        <v>309379.08</v>
      </c>
      <c r="L33" s="29">
        <f>70963.1+771.33</f>
        <v>71734.430000000008</v>
      </c>
      <c r="M33" s="29">
        <v>4638.5600000000004</v>
      </c>
      <c r="N33" s="54">
        <f>SUM(B33:M33)</f>
        <v>985051.10000000021</v>
      </c>
      <c r="O33" s="45" t="s">
        <v>90</v>
      </c>
      <c r="Q33" s="1"/>
      <c r="R33" s="1"/>
    </row>
    <row r="34" spans="1:18" x14ac:dyDescent="0.2">
      <c r="A34" s="11" t="s">
        <v>30</v>
      </c>
      <c r="B34" s="14">
        <v>6000.01</v>
      </c>
      <c r="C34" s="14">
        <v>36000</v>
      </c>
      <c r="D34" s="15">
        <v>92000</v>
      </c>
      <c r="E34" s="15">
        <v>358000</v>
      </c>
      <c r="F34" s="15">
        <v>66780.990000000005</v>
      </c>
      <c r="G34" s="15">
        <v>11500</v>
      </c>
      <c r="H34" s="14">
        <v>6000</v>
      </c>
      <c r="I34" s="14">
        <v>5500</v>
      </c>
      <c r="J34" s="14">
        <v>20000</v>
      </c>
      <c r="K34" s="14">
        <v>305000</v>
      </c>
      <c r="L34" s="14">
        <v>67281</v>
      </c>
      <c r="M34" s="14">
        <v>5997</v>
      </c>
      <c r="N34" s="1">
        <f>SUM(B34:M34)</f>
        <v>980059</v>
      </c>
      <c r="O34" s="1"/>
      <c r="Q34" s="1"/>
    </row>
    <row r="35" spans="1:18" x14ac:dyDescent="0.2">
      <c r="A35" s="11" t="s">
        <v>40</v>
      </c>
      <c r="B35" s="14">
        <f>B33-B34</f>
        <v>-1255.0700000000006</v>
      </c>
      <c r="C35" s="14">
        <f>B35+(C33-C34)</f>
        <v>-28919.119999999999</v>
      </c>
      <c r="D35" s="14">
        <f>C35+(D33-D34)</f>
        <v>-12949.060000000001</v>
      </c>
      <c r="E35" s="14">
        <f t="shared" ref="E35:M35" si="27">D35+(E33-E34)</f>
        <v>-15187.789999999983</v>
      </c>
      <c r="F35" s="14">
        <f t="shared" si="27"/>
        <v>-2510.4899999999798</v>
      </c>
      <c r="G35" s="14">
        <f t="shared" si="27"/>
        <v>-546.3199999999797</v>
      </c>
      <c r="H35" s="14">
        <f t="shared" si="27"/>
        <v>-1869.70999999998</v>
      </c>
      <c r="I35" s="14">
        <f t="shared" si="27"/>
        <v>-1402.6899999999796</v>
      </c>
      <c r="J35" s="14">
        <f t="shared" si="27"/>
        <v>-2481.9699999999784</v>
      </c>
      <c r="K35" s="14">
        <f t="shared" si="27"/>
        <v>1897.1100000000379</v>
      </c>
      <c r="L35" s="14">
        <f t="shared" si="27"/>
        <v>6350.5400000000454</v>
      </c>
      <c r="M35" s="14">
        <f t="shared" si="27"/>
        <v>4992.1000000000458</v>
      </c>
    </row>
    <row r="36" spans="1:18" x14ac:dyDescent="0.2">
      <c r="A36" s="39" t="s">
        <v>35</v>
      </c>
      <c r="B36" s="29">
        <v>5721.9</v>
      </c>
      <c r="C36" s="29">
        <v>505</v>
      </c>
      <c r="D36" s="29">
        <v>4480</v>
      </c>
      <c r="E36" s="29">
        <v>40329</v>
      </c>
      <c r="F36" s="29">
        <f>9221.24+39067.5</f>
        <v>48288.74</v>
      </c>
      <c r="G36" s="29">
        <f>11232+10323+50</f>
        <v>21605</v>
      </c>
      <c r="H36" s="29">
        <v>11425.25</v>
      </c>
      <c r="I36" s="29">
        <v>1593.05</v>
      </c>
      <c r="J36" s="29">
        <v>15190.4</v>
      </c>
      <c r="K36" s="29">
        <f>5200.45+130</f>
        <v>5330.45</v>
      </c>
      <c r="L36" s="29">
        <f>9467.3-130</f>
        <v>9337.2999999999993</v>
      </c>
      <c r="M36" s="29">
        <v>21033.5</v>
      </c>
      <c r="N36" s="54">
        <f>SUM(B36:M36)</f>
        <v>184839.59</v>
      </c>
      <c r="O36" s="46" t="s">
        <v>99</v>
      </c>
    </row>
    <row r="37" spans="1:18" x14ac:dyDescent="0.2">
      <c r="A37" s="12" t="s">
        <v>31</v>
      </c>
      <c r="B37" s="14">
        <v>3128.14</v>
      </c>
      <c r="C37" s="14">
        <v>5852.91</v>
      </c>
      <c r="D37" s="14">
        <v>5852.92</v>
      </c>
      <c r="E37" s="14">
        <v>15887.84</v>
      </c>
      <c r="F37" s="14">
        <v>51087.86</v>
      </c>
      <c r="G37" s="14">
        <v>26182.91</v>
      </c>
      <c r="H37" s="14">
        <v>16287.91</v>
      </c>
      <c r="I37" s="14">
        <v>3487.92</v>
      </c>
      <c r="J37" s="14">
        <v>20552.91</v>
      </c>
      <c r="K37" s="14">
        <v>3502.9</v>
      </c>
      <c r="L37" s="14">
        <v>5452.91</v>
      </c>
      <c r="M37" s="14">
        <v>5132.87</v>
      </c>
      <c r="N37" s="1">
        <f>SUM(B37:M37)</f>
        <v>162410</v>
      </c>
      <c r="O37" s="1"/>
      <c r="R37" s="1"/>
    </row>
    <row r="38" spans="1:18" x14ac:dyDescent="0.2">
      <c r="A38" s="12" t="s">
        <v>41</v>
      </c>
      <c r="B38" s="14">
        <f>+B36-B37</f>
        <v>2593.7599999999998</v>
      </c>
      <c r="C38" s="14">
        <f t="shared" ref="C38:M38" si="28">B38+(C36-C37)</f>
        <v>-2754.15</v>
      </c>
      <c r="D38" s="14">
        <f t="shared" si="28"/>
        <v>-4127.07</v>
      </c>
      <c r="E38" s="14">
        <f t="shared" si="28"/>
        <v>20314.09</v>
      </c>
      <c r="F38" s="14">
        <f t="shared" si="28"/>
        <v>17514.969999999998</v>
      </c>
      <c r="G38" s="14">
        <f t="shared" si="28"/>
        <v>12937.059999999998</v>
      </c>
      <c r="H38" s="14">
        <f t="shared" si="28"/>
        <v>8074.3999999999978</v>
      </c>
      <c r="I38" s="14">
        <f t="shared" si="28"/>
        <v>6179.5299999999979</v>
      </c>
      <c r="J38" s="14">
        <f t="shared" si="28"/>
        <v>817.01999999999771</v>
      </c>
      <c r="K38" s="14">
        <f t="shared" si="28"/>
        <v>2644.5699999999974</v>
      </c>
      <c r="L38" s="14">
        <f t="shared" si="28"/>
        <v>6528.9599999999973</v>
      </c>
      <c r="M38" s="14">
        <f t="shared" si="28"/>
        <v>22429.589999999997</v>
      </c>
    </row>
    <row r="39" spans="1:18" x14ac:dyDescent="0.2">
      <c r="A39" s="39" t="s">
        <v>36</v>
      </c>
      <c r="B39" s="29">
        <v>60</v>
      </c>
      <c r="C39" s="29">
        <v>180</v>
      </c>
      <c r="D39" s="29">
        <v>1150</v>
      </c>
      <c r="E39" s="29">
        <v>980</v>
      </c>
      <c r="F39" s="29">
        <f>250+922.5</f>
        <v>1172.5</v>
      </c>
      <c r="G39" s="29">
        <v>280</v>
      </c>
      <c r="H39" s="29">
        <v>1435</v>
      </c>
      <c r="I39" s="29">
        <v>455</v>
      </c>
      <c r="J39" s="29">
        <v>455</v>
      </c>
      <c r="K39" s="29">
        <v>120</v>
      </c>
      <c r="L39" s="29">
        <v>195</v>
      </c>
      <c r="M39" s="29">
        <v>30</v>
      </c>
      <c r="N39" s="54">
        <f>SUM(B39:M39)</f>
        <v>6512.5</v>
      </c>
      <c r="O39" s="46" t="s">
        <v>91</v>
      </c>
      <c r="Q39" s="1"/>
    </row>
    <row r="40" spans="1:18" x14ac:dyDescent="0.2">
      <c r="A40" s="12" t="s">
        <v>32</v>
      </c>
      <c r="B40" s="14">
        <v>125.01</v>
      </c>
      <c r="C40" s="14">
        <v>125</v>
      </c>
      <c r="D40" s="14">
        <v>140</v>
      </c>
      <c r="E40" s="14">
        <v>170</v>
      </c>
      <c r="F40" s="14">
        <v>745</v>
      </c>
      <c r="G40" s="14">
        <v>574.99</v>
      </c>
      <c r="H40" s="14">
        <v>500</v>
      </c>
      <c r="I40" s="14">
        <v>175</v>
      </c>
      <c r="J40" s="14">
        <v>330</v>
      </c>
      <c r="K40" s="14">
        <v>315</v>
      </c>
      <c r="L40" s="14">
        <v>0</v>
      </c>
      <c r="M40" s="14">
        <v>0</v>
      </c>
      <c r="N40" s="1">
        <f>SUM(B40:M40)</f>
        <v>3200</v>
      </c>
      <c r="O40" s="1"/>
    </row>
    <row r="41" spans="1:18" x14ac:dyDescent="0.2">
      <c r="A41" s="12" t="s">
        <v>42</v>
      </c>
      <c r="B41" s="14">
        <f>B39-B40</f>
        <v>-65.010000000000005</v>
      </c>
      <c r="C41" s="14">
        <f t="shared" ref="C41:M41" si="29">B41+(C39-C40)</f>
        <v>-10.010000000000005</v>
      </c>
      <c r="D41" s="14">
        <f t="shared" si="29"/>
        <v>999.99</v>
      </c>
      <c r="E41" s="14">
        <f t="shared" si="29"/>
        <v>1809.99</v>
      </c>
      <c r="F41" s="14">
        <f t="shared" si="29"/>
        <v>2237.4899999999998</v>
      </c>
      <c r="G41" s="14">
        <f t="shared" si="29"/>
        <v>1942.4999999999998</v>
      </c>
      <c r="H41" s="14">
        <f t="shared" si="29"/>
        <v>2877.5</v>
      </c>
      <c r="I41" s="14">
        <f t="shared" si="29"/>
        <v>3157.5</v>
      </c>
      <c r="J41" s="14">
        <f t="shared" si="29"/>
        <v>3282.5</v>
      </c>
      <c r="K41" s="14">
        <f t="shared" si="29"/>
        <v>3087.5</v>
      </c>
      <c r="L41" s="14">
        <f t="shared" si="29"/>
        <v>3282.5</v>
      </c>
      <c r="M41" s="14">
        <f t="shared" si="29"/>
        <v>3312.5</v>
      </c>
    </row>
    <row r="42" spans="1:18" x14ac:dyDescent="0.2">
      <c r="A42" s="39" t="s">
        <v>37</v>
      </c>
      <c r="B42" s="29">
        <v>0</v>
      </c>
      <c r="C42" s="29">
        <v>0</v>
      </c>
      <c r="D42" s="29">
        <v>0</v>
      </c>
      <c r="E42" s="29">
        <v>535.1</v>
      </c>
      <c r="F42" s="29">
        <v>0</v>
      </c>
      <c r="G42" s="29">
        <v>89.31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54">
        <f>SUM(B42:M42)</f>
        <v>624.41000000000008</v>
      </c>
      <c r="O42" s="47" t="s">
        <v>81</v>
      </c>
    </row>
    <row r="43" spans="1:18" x14ac:dyDescent="0.2">
      <c r="A43" s="12" t="s">
        <v>33</v>
      </c>
      <c r="B43" s="14">
        <v>0.01</v>
      </c>
      <c r="C43" s="14">
        <v>0</v>
      </c>
      <c r="D43" s="14">
        <v>24.99</v>
      </c>
      <c r="E43" s="14">
        <v>70</v>
      </c>
      <c r="F43" s="14">
        <v>0</v>
      </c>
      <c r="G43" s="14">
        <v>100</v>
      </c>
      <c r="H43" s="14">
        <v>0</v>
      </c>
      <c r="I43" s="14">
        <v>155</v>
      </c>
      <c r="J43" s="14">
        <v>0</v>
      </c>
      <c r="K43" s="14">
        <v>0</v>
      </c>
      <c r="L43" s="14">
        <v>0</v>
      </c>
      <c r="M43" s="14">
        <v>0</v>
      </c>
      <c r="N43" s="1">
        <f>SUM(B43:M43)</f>
        <v>350</v>
      </c>
    </row>
    <row r="44" spans="1:18" x14ac:dyDescent="0.2">
      <c r="A44" s="12" t="s">
        <v>43</v>
      </c>
      <c r="B44" s="14">
        <f>B42-B43</f>
        <v>-0.01</v>
      </c>
      <c r="C44" s="14">
        <f t="shared" ref="C44:M44" si="30">B44+(C42-C43)</f>
        <v>-0.01</v>
      </c>
      <c r="D44" s="14">
        <f t="shared" si="30"/>
        <v>-25</v>
      </c>
      <c r="E44" s="14">
        <f t="shared" si="30"/>
        <v>440.1</v>
      </c>
      <c r="F44" s="14">
        <f t="shared" si="30"/>
        <v>440.1</v>
      </c>
      <c r="G44" s="14">
        <f t="shared" si="30"/>
        <v>429.41</v>
      </c>
      <c r="H44" s="14">
        <f t="shared" si="30"/>
        <v>429.41</v>
      </c>
      <c r="I44" s="14">
        <f t="shared" si="30"/>
        <v>274.41000000000003</v>
      </c>
      <c r="J44" s="14">
        <f t="shared" si="30"/>
        <v>274.41000000000003</v>
      </c>
      <c r="K44" s="14">
        <f t="shared" si="30"/>
        <v>274.41000000000003</v>
      </c>
      <c r="L44" s="14">
        <f t="shared" si="30"/>
        <v>274.41000000000003</v>
      </c>
      <c r="M44" s="14">
        <f t="shared" si="30"/>
        <v>274.41000000000003</v>
      </c>
    </row>
    <row r="45" spans="1:18" x14ac:dyDescent="0.2">
      <c r="A45" s="39" t="s">
        <v>38</v>
      </c>
      <c r="B45" s="29">
        <v>306.89</v>
      </c>
      <c r="C45" s="29">
        <v>299.98</v>
      </c>
      <c r="D45" s="29">
        <v>259.83999999999997</v>
      </c>
      <c r="E45" s="29">
        <v>241.78</v>
      </c>
      <c r="F45" s="29">
        <f>147.11+242.83</f>
        <v>389.94000000000005</v>
      </c>
      <c r="G45" s="29">
        <f>355+268.36</f>
        <v>623.36</v>
      </c>
      <c r="H45" s="29">
        <f>430.71+327.37</f>
        <v>758.07999999999993</v>
      </c>
      <c r="I45" s="29">
        <f>416.13+357.27+1.04+0.89</f>
        <v>775.32999999999993</v>
      </c>
      <c r="J45" s="29">
        <f>321.23+371.58</f>
        <v>692.81</v>
      </c>
      <c r="K45" s="29">
        <f>286.17+434.51</f>
        <v>720.68000000000006</v>
      </c>
      <c r="L45" s="29">
        <f>409.46+529.73</f>
        <v>939.19</v>
      </c>
      <c r="M45" s="29">
        <f>484.75+458.65</f>
        <v>943.4</v>
      </c>
      <c r="N45" s="54">
        <f>SUM(B45:M45)</f>
        <v>6951.2800000000007</v>
      </c>
      <c r="O45" s="46" t="s">
        <v>77</v>
      </c>
    </row>
    <row r="46" spans="1:18" x14ac:dyDescent="0.2">
      <c r="A46" s="12" t="s">
        <v>34</v>
      </c>
      <c r="B46" s="14">
        <v>335</v>
      </c>
      <c r="C46" s="14">
        <v>335</v>
      </c>
      <c r="D46" s="14">
        <v>335</v>
      </c>
      <c r="E46" s="14">
        <v>310</v>
      </c>
      <c r="F46" s="14">
        <v>345</v>
      </c>
      <c r="G46" s="14">
        <v>315</v>
      </c>
      <c r="H46" s="14">
        <v>325</v>
      </c>
      <c r="I46" s="14">
        <v>310</v>
      </c>
      <c r="J46" s="14">
        <v>335</v>
      </c>
      <c r="K46" s="14">
        <v>335</v>
      </c>
      <c r="L46" s="14">
        <v>295</v>
      </c>
      <c r="M46" s="14">
        <v>325</v>
      </c>
      <c r="N46" s="1">
        <f>SUM(B46:M46)</f>
        <v>3900</v>
      </c>
      <c r="O46" s="1"/>
    </row>
    <row r="47" spans="1:18" x14ac:dyDescent="0.2">
      <c r="A47" s="12" t="s">
        <v>44</v>
      </c>
      <c r="B47" s="14">
        <f>B45-B46</f>
        <v>-28.110000000000014</v>
      </c>
      <c r="C47" s="14">
        <f t="shared" ref="C47:M47" si="31">B47+(C45-C46)</f>
        <v>-63.129999999999995</v>
      </c>
      <c r="D47" s="14">
        <f t="shared" si="31"/>
        <v>-138.29000000000002</v>
      </c>
      <c r="E47" s="14">
        <f t="shared" si="31"/>
        <v>-206.51000000000002</v>
      </c>
      <c r="F47" s="14">
        <f t="shared" si="31"/>
        <v>-161.56999999999996</v>
      </c>
      <c r="G47" s="14">
        <f t="shared" si="31"/>
        <v>146.79000000000005</v>
      </c>
      <c r="H47" s="14">
        <f t="shared" si="31"/>
        <v>579.87</v>
      </c>
      <c r="I47" s="14">
        <f t="shared" si="31"/>
        <v>1045.1999999999998</v>
      </c>
      <c r="J47" s="14">
        <f t="shared" si="31"/>
        <v>1403.0099999999998</v>
      </c>
      <c r="K47" s="14">
        <f t="shared" si="31"/>
        <v>1788.6899999999998</v>
      </c>
      <c r="L47" s="14">
        <f t="shared" si="31"/>
        <v>2432.88</v>
      </c>
      <c r="M47" s="14">
        <f t="shared" si="31"/>
        <v>3051.28</v>
      </c>
    </row>
    <row r="48" spans="1:18" x14ac:dyDescent="0.2">
      <c r="A48" s="43" t="s">
        <v>78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54">
        <f>SUM(B48:M48)</f>
        <v>0</v>
      </c>
      <c r="O48" s="56" t="s">
        <v>102</v>
      </c>
      <c r="P48" s="46" t="s">
        <v>1</v>
      </c>
      <c r="R48" s="46" t="s">
        <v>0</v>
      </c>
    </row>
    <row r="49" spans="1:18" x14ac:dyDescent="0.2">
      <c r="A49" s="48" t="s">
        <v>79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24438</v>
      </c>
      <c r="K49" s="14">
        <v>7870</v>
      </c>
      <c r="L49" s="14">
        <v>7870</v>
      </c>
      <c r="M49" s="14">
        <v>7870</v>
      </c>
      <c r="N49" s="1">
        <f>SUM(B49:M49)</f>
        <v>48048</v>
      </c>
      <c r="O49" s="1"/>
      <c r="P49" s="1">
        <f>SUM(N33+N36+N39+N42+N45+N48)</f>
        <v>1183978.8800000001</v>
      </c>
      <c r="Q49" s="46" t="s">
        <v>96</v>
      </c>
      <c r="R49" s="1">
        <f>SUM(N34+N37+N40+N43+N46+N49)</f>
        <v>1197967</v>
      </c>
    </row>
    <row r="50" spans="1:18" x14ac:dyDescent="0.2">
      <c r="A50" s="13" t="s">
        <v>80</v>
      </c>
      <c r="B50" s="14">
        <f>B48-B49</f>
        <v>0</v>
      </c>
      <c r="C50" s="14">
        <f>B50+(C48-C49)</f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f t="shared" ref="J50:M50" si="32">I50+(J48-J49)</f>
        <v>-24438</v>
      </c>
      <c r="K50" s="14">
        <f t="shared" si="32"/>
        <v>-32308</v>
      </c>
      <c r="L50" s="14">
        <f t="shared" si="32"/>
        <v>-40178</v>
      </c>
      <c r="M50" s="14">
        <f t="shared" si="32"/>
        <v>-48048</v>
      </c>
      <c r="P50" s="1">
        <f>SUM(N53,N56,N59,N62,N65,N68,N71)</f>
        <v>1153553.3699999999</v>
      </c>
      <c r="Q50" s="46" t="s">
        <v>97</v>
      </c>
      <c r="R50" s="55">
        <f>SUM(N54+N57+N60+N63+N66+N69+N72)</f>
        <v>1256004</v>
      </c>
    </row>
    <row r="51" spans="1:18" x14ac:dyDescent="0.2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>
        <f>P49-P50</f>
        <v>30425.510000000242</v>
      </c>
      <c r="R51" s="1">
        <f>R49-R50</f>
        <v>-58037</v>
      </c>
    </row>
    <row r="52" spans="1:18" x14ac:dyDescent="0.2">
      <c r="A52" s="20" t="s">
        <v>45</v>
      </c>
      <c r="B52" s="21" t="s">
        <v>11</v>
      </c>
      <c r="C52" s="21" t="s">
        <v>13</v>
      </c>
      <c r="D52" s="21" t="s">
        <v>14</v>
      </c>
      <c r="E52" s="21" t="s">
        <v>15</v>
      </c>
      <c r="F52" s="21" t="s">
        <v>16</v>
      </c>
      <c r="G52" s="21" t="s">
        <v>17</v>
      </c>
      <c r="H52" s="21" t="s">
        <v>18</v>
      </c>
      <c r="I52" s="21" t="s">
        <v>19</v>
      </c>
      <c r="J52" s="21" t="s">
        <v>20</v>
      </c>
      <c r="K52" s="21" t="s">
        <v>21</v>
      </c>
      <c r="L52" s="21" t="s">
        <v>22</v>
      </c>
      <c r="M52" s="21" t="s">
        <v>23</v>
      </c>
      <c r="N52" s="1"/>
      <c r="O52" s="1"/>
    </row>
    <row r="53" spans="1:18" x14ac:dyDescent="0.2">
      <c r="A53" s="41" t="s">
        <v>46</v>
      </c>
      <c r="B53" s="29">
        <v>45375.7</v>
      </c>
      <c r="C53" s="29">
        <v>33705.54</v>
      </c>
      <c r="D53" s="29">
        <v>30898.73</v>
      </c>
      <c r="E53" s="29">
        <v>66362.47</v>
      </c>
      <c r="F53" s="29">
        <v>29881.3</v>
      </c>
      <c r="G53" s="29">
        <v>31310.31</v>
      </c>
      <c r="H53" s="29">
        <v>33994.06</v>
      </c>
      <c r="I53" s="29">
        <v>62637.5</v>
      </c>
      <c r="J53" s="29">
        <v>35396.480000000003</v>
      </c>
      <c r="K53" s="29">
        <v>34375.33</v>
      </c>
      <c r="L53" s="29">
        <v>36805.910000000003</v>
      </c>
      <c r="M53" s="29">
        <v>33975.17</v>
      </c>
      <c r="N53" s="54">
        <f>SUM(B53:M53)</f>
        <v>474718.49999999994</v>
      </c>
      <c r="O53" s="46" t="s">
        <v>82</v>
      </c>
      <c r="R53" s="1">
        <f>R51-P51</f>
        <v>-88462.510000000242</v>
      </c>
    </row>
    <row r="54" spans="1:18" ht="15" x14ac:dyDescent="0.25">
      <c r="A54" s="22" t="s">
        <v>50</v>
      </c>
      <c r="B54" s="23">
        <v>42593.62</v>
      </c>
      <c r="C54" s="23">
        <v>35823.17</v>
      </c>
      <c r="D54" s="23">
        <v>31939.19</v>
      </c>
      <c r="E54" s="23">
        <v>35850.49</v>
      </c>
      <c r="F54" s="23">
        <v>42919.19</v>
      </c>
      <c r="G54" s="23">
        <v>33889.360000000001</v>
      </c>
      <c r="H54" s="23">
        <v>39960.339999999997</v>
      </c>
      <c r="I54" s="23">
        <v>65273.36</v>
      </c>
      <c r="J54" s="23">
        <v>32050.37</v>
      </c>
      <c r="K54" s="23">
        <v>36587.47</v>
      </c>
      <c r="L54" s="23">
        <v>32119.37</v>
      </c>
      <c r="M54" s="23">
        <v>48809.07</v>
      </c>
      <c r="N54" s="58">
        <f>SUM(B54:M54)</f>
        <v>477814.99999999994</v>
      </c>
      <c r="O54" s="1"/>
    </row>
    <row r="55" spans="1:18" x14ac:dyDescent="0.2">
      <c r="A55" s="22" t="s">
        <v>53</v>
      </c>
      <c r="B55" s="23">
        <f>B54-B53</f>
        <v>-2782.0799999999945</v>
      </c>
      <c r="C55" s="23">
        <f>B55+(C54-C53)</f>
        <v>-664.44999999999709</v>
      </c>
      <c r="D55" s="23">
        <f t="shared" ref="D55:M55" si="33">C55+(D54-D53)</f>
        <v>376.01000000000204</v>
      </c>
      <c r="E55" s="23">
        <f t="shared" si="33"/>
        <v>-30135.97</v>
      </c>
      <c r="F55" s="23">
        <f t="shared" si="33"/>
        <v>-17098.079999999998</v>
      </c>
      <c r="G55" s="23">
        <f t="shared" si="33"/>
        <v>-14519.029999999999</v>
      </c>
      <c r="H55" s="23">
        <f t="shared" si="33"/>
        <v>-8552.75</v>
      </c>
      <c r="I55" s="23">
        <f t="shared" si="33"/>
        <v>-5916.8899999999994</v>
      </c>
      <c r="J55" s="23">
        <f t="shared" si="33"/>
        <v>-9263.0000000000036</v>
      </c>
      <c r="K55" s="23">
        <f t="shared" si="33"/>
        <v>-7050.8600000000042</v>
      </c>
      <c r="L55" s="23">
        <f t="shared" si="33"/>
        <v>-11737.400000000009</v>
      </c>
      <c r="M55" s="23">
        <f t="shared" si="33"/>
        <v>3096.4999999999927</v>
      </c>
      <c r="N55" s="59"/>
    </row>
    <row r="56" spans="1:18" x14ac:dyDescent="0.2">
      <c r="A56" s="39" t="s">
        <v>47</v>
      </c>
      <c r="B56" s="29">
        <v>24216.98</v>
      </c>
      <c r="C56" s="29">
        <v>23438.91</v>
      </c>
      <c r="D56" s="29">
        <v>33297.21</v>
      </c>
      <c r="E56" s="29">
        <v>26328.29</v>
      </c>
      <c r="F56" s="29">
        <v>20046.169999999998</v>
      </c>
      <c r="G56" s="29">
        <v>28986.9</v>
      </c>
      <c r="H56" s="29">
        <v>20677.66</v>
      </c>
      <c r="I56" s="29">
        <v>27129.07</v>
      </c>
      <c r="J56" s="29">
        <v>28306.07</v>
      </c>
      <c r="K56" s="29">
        <v>27854.959999999999</v>
      </c>
      <c r="L56" s="29">
        <v>23028.05</v>
      </c>
      <c r="M56" s="29">
        <v>62846.34</v>
      </c>
      <c r="N56" s="54">
        <f>SUM(B56:M56)</f>
        <v>346156.61</v>
      </c>
      <c r="O56" s="45" t="s">
        <v>92</v>
      </c>
    </row>
    <row r="57" spans="1:18" x14ac:dyDescent="0.2">
      <c r="A57" s="24" t="s">
        <v>51</v>
      </c>
      <c r="B57" s="23">
        <v>31086.35</v>
      </c>
      <c r="C57" s="23">
        <v>31098.34</v>
      </c>
      <c r="D57" s="23">
        <v>31098.34</v>
      </c>
      <c r="E57" s="23">
        <v>30998.34</v>
      </c>
      <c r="F57" s="23">
        <v>31998.34</v>
      </c>
      <c r="G57" s="23">
        <v>32245.34</v>
      </c>
      <c r="H57" s="23">
        <v>32270.34</v>
      </c>
      <c r="I57" s="23">
        <v>33269.339999999997</v>
      </c>
      <c r="J57" s="23">
        <v>32323.34</v>
      </c>
      <c r="K57" s="23">
        <v>31323.34</v>
      </c>
      <c r="L57" s="23">
        <v>31178.34</v>
      </c>
      <c r="M57" s="23">
        <v>39759.25</v>
      </c>
      <c r="N57" s="59">
        <f>SUM(B57:M57)</f>
        <v>388649.00000000006</v>
      </c>
    </row>
    <row r="58" spans="1:18" x14ac:dyDescent="0.2">
      <c r="A58" s="24" t="s">
        <v>54</v>
      </c>
      <c r="B58" s="23">
        <f>B57-B56</f>
        <v>6869.369999999999</v>
      </c>
      <c r="C58" s="23">
        <f t="shared" ref="C58:M58" si="34">B58+(C57-C56)</f>
        <v>14528.8</v>
      </c>
      <c r="D58" s="23">
        <f t="shared" si="34"/>
        <v>12329.93</v>
      </c>
      <c r="E58" s="23">
        <f t="shared" si="34"/>
        <v>16999.98</v>
      </c>
      <c r="F58" s="23">
        <f t="shared" si="34"/>
        <v>28952.15</v>
      </c>
      <c r="G58" s="23">
        <f t="shared" si="34"/>
        <v>32210.59</v>
      </c>
      <c r="H58" s="23">
        <f t="shared" si="34"/>
        <v>43803.270000000004</v>
      </c>
      <c r="I58" s="23">
        <f t="shared" si="34"/>
        <v>49943.54</v>
      </c>
      <c r="J58" s="23">
        <f t="shared" si="34"/>
        <v>53960.81</v>
      </c>
      <c r="K58" s="23">
        <f t="shared" si="34"/>
        <v>57429.19</v>
      </c>
      <c r="L58" s="23">
        <f t="shared" si="34"/>
        <v>65579.48000000001</v>
      </c>
      <c r="M58" s="23">
        <f t="shared" si="34"/>
        <v>42492.390000000014</v>
      </c>
      <c r="N58" s="60"/>
    </row>
    <row r="59" spans="1:18" x14ac:dyDescent="0.2">
      <c r="A59" s="39" t="s">
        <v>48</v>
      </c>
      <c r="B59" s="29">
        <v>5094.75</v>
      </c>
      <c r="C59" s="29">
        <v>7149.23</v>
      </c>
      <c r="D59" s="29">
        <v>7840.42</v>
      </c>
      <c r="E59" s="29">
        <v>9595.49</v>
      </c>
      <c r="F59" s="29">
        <f>4803.26+117.8+40+70.66</f>
        <v>5031.72</v>
      </c>
      <c r="G59" s="29">
        <f>4803.26+8582.99+17344+100.66</f>
        <v>30830.91</v>
      </c>
      <c r="H59" s="29">
        <v>25329.4</v>
      </c>
      <c r="I59" s="29">
        <f>4803.26+13507.23+30167.25+70.73</f>
        <v>48548.47</v>
      </c>
      <c r="J59" s="29">
        <v>12868.71</v>
      </c>
      <c r="K59" s="29">
        <v>7328.59</v>
      </c>
      <c r="L59" s="29">
        <v>12676.04</v>
      </c>
      <c r="M59" s="29">
        <v>21500.2</v>
      </c>
      <c r="N59" s="54">
        <f>SUM(B59:M59)</f>
        <v>193793.93000000002</v>
      </c>
      <c r="O59" s="45" t="s">
        <v>93</v>
      </c>
    </row>
    <row r="60" spans="1:18" x14ac:dyDescent="0.2">
      <c r="A60" s="24" t="s">
        <v>31</v>
      </c>
      <c r="B60" s="23">
        <v>8626.1299999999992</v>
      </c>
      <c r="C60" s="23">
        <v>8725.93</v>
      </c>
      <c r="D60" s="23">
        <v>9460.93</v>
      </c>
      <c r="E60" s="23">
        <v>12110.91</v>
      </c>
      <c r="F60" s="23">
        <v>13375.92</v>
      </c>
      <c r="G60" s="23">
        <v>10900.93</v>
      </c>
      <c r="H60" s="23">
        <v>41105.879999999997</v>
      </c>
      <c r="I60" s="23">
        <v>46250.87</v>
      </c>
      <c r="J60" s="23">
        <v>18330.88</v>
      </c>
      <c r="K60" s="23">
        <v>9115.92</v>
      </c>
      <c r="L60" s="23">
        <v>8625.93</v>
      </c>
      <c r="M60" s="23">
        <v>8614.77</v>
      </c>
      <c r="N60" s="59">
        <f>SUM(B60:M60)</f>
        <v>195245</v>
      </c>
    </row>
    <row r="61" spans="1:18" x14ac:dyDescent="0.2">
      <c r="A61" s="24" t="s">
        <v>41</v>
      </c>
      <c r="B61" s="23">
        <f>B60-B59</f>
        <v>3531.3799999999992</v>
      </c>
      <c r="C61" s="23">
        <f t="shared" ref="C61:M61" si="35">B61+(C60-C59)</f>
        <v>5108.08</v>
      </c>
      <c r="D61" s="23">
        <f t="shared" si="35"/>
        <v>6728.59</v>
      </c>
      <c r="E61" s="23">
        <f t="shared" si="35"/>
        <v>9244.01</v>
      </c>
      <c r="F61" s="23">
        <f t="shared" si="35"/>
        <v>17588.21</v>
      </c>
      <c r="G61" s="23">
        <f t="shared" si="35"/>
        <v>-2341.7700000000004</v>
      </c>
      <c r="H61" s="23">
        <f t="shared" si="35"/>
        <v>13434.709999999995</v>
      </c>
      <c r="I61" s="23">
        <f t="shared" si="35"/>
        <v>11137.109999999997</v>
      </c>
      <c r="J61" s="23">
        <f t="shared" si="35"/>
        <v>16599.28</v>
      </c>
      <c r="K61" s="23">
        <f t="shared" si="35"/>
        <v>18386.61</v>
      </c>
      <c r="L61" s="23">
        <f t="shared" si="35"/>
        <v>14336.5</v>
      </c>
      <c r="M61" s="23">
        <f t="shared" si="35"/>
        <v>1451.0699999999997</v>
      </c>
      <c r="N61" s="60"/>
    </row>
    <row r="62" spans="1:18" x14ac:dyDescent="0.2">
      <c r="A62" s="39" t="s">
        <v>36</v>
      </c>
      <c r="B62" s="29">
        <v>0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54">
        <f>SUM(B62:M62)</f>
        <v>0</v>
      </c>
      <c r="O62" s="1" t="s">
        <v>83</v>
      </c>
    </row>
    <row r="63" spans="1:18" x14ac:dyDescent="0.2">
      <c r="A63" s="24" t="s">
        <v>32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59">
        <f>SUM(B63:M63)</f>
        <v>0</v>
      </c>
    </row>
    <row r="64" spans="1:18" x14ac:dyDescent="0.2">
      <c r="A64" s="24" t="s">
        <v>42</v>
      </c>
      <c r="B64" s="23">
        <f>B63-B62</f>
        <v>0</v>
      </c>
      <c r="C64" s="23">
        <f>B64+(C63-C62)</f>
        <v>0</v>
      </c>
      <c r="D64" s="23">
        <f>C64+(D63-D62)</f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3">
        <v>0</v>
      </c>
      <c r="M64" s="23">
        <v>0</v>
      </c>
      <c r="N64" s="60"/>
      <c r="P64" s="1"/>
    </row>
    <row r="65" spans="1:16" x14ac:dyDescent="0.2">
      <c r="A65" s="39" t="s">
        <v>49</v>
      </c>
      <c r="B65" s="29">
        <v>0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22358.400000000001</v>
      </c>
      <c r="M65" s="29">
        <v>41532.400000000001</v>
      </c>
      <c r="N65" s="54">
        <f>SUM(B65:M65)</f>
        <v>63890.8</v>
      </c>
      <c r="O65" s="56" t="s">
        <v>98</v>
      </c>
    </row>
    <row r="66" spans="1:16" x14ac:dyDescent="0.2">
      <c r="A66" s="24" t="s">
        <v>52</v>
      </c>
      <c r="B66" s="23">
        <v>5975</v>
      </c>
      <c r="C66" s="23">
        <v>5975</v>
      </c>
      <c r="D66" s="23">
        <v>5975</v>
      </c>
      <c r="E66" s="23">
        <v>5975</v>
      </c>
      <c r="F66" s="23">
        <v>5975</v>
      </c>
      <c r="G66" s="23">
        <v>5975</v>
      </c>
      <c r="H66" s="23">
        <v>5975</v>
      </c>
      <c r="I66" s="23">
        <v>5975</v>
      </c>
      <c r="J66" s="23">
        <v>5975</v>
      </c>
      <c r="K66" s="23">
        <v>5975</v>
      </c>
      <c r="L66" s="23">
        <v>5975</v>
      </c>
      <c r="M66" s="23">
        <v>5975</v>
      </c>
      <c r="N66" s="59">
        <f>SUM(B66:M66)</f>
        <v>71700</v>
      </c>
      <c r="O66" s="1"/>
      <c r="P66" s="1"/>
    </row>
    <row r="67" spans="1:16" x14ac:dyDescent="0.2">
      <c r="A67" s="24" t="s">
        <v>55</v>
      </c>
      <c r="B67" s="23">
        <f>B66-B65</f>
        <v>5975</v>
      </c>
      <c r="C67" s="23">
        <f>B67+(C66-C65)</f>
        <v>11950</v>
      </c>
      <c r="D67" s="23">
        <f t="shared" ref="D67:M67" si="36">C67+(D66-D65)</f>
        <v>17925</v>
      </c>
      <c r="E67" s="23">
        <f t="shared" si="36"/>
        <v>23900</v>
      </c>
      <c r="F67" s="23">
        <f t="shared" si="36"/>
        <v>29875</v>
      </c>
      <c r="G67" s="23">
        <f t="shared" si="36"/>
        <v>35850</v>
      </c>
      <c r="H67" s="23">
        <f t="shared" si="36"/>
        <v>41825</v>
      </c>
      <c r="I67" s="23">
        <f t="shared" si="36"/>
        <v>47800</v>
      </c>
      <c r="J67" s="23">
        <f t="shared" si="36"/>
        <v>53775</v>
      </c>
      <c r="K67" s="23">
        <f t="shared" si="36"/>
        <v>59750</v>
      </c>
      <c r="L67" s="23">
        <f t="shared" si="36"/>
        <v>43366.6</v>
      </c>
      <c r="M67" s="23">
        <f t="shared" si="36"/>
        <v>7809.1999999999971</v>
      </c>
      <c r="N67" s="60"/>
    </row>
    <row r="68" spans="1:16" x14ac:dyDescent="0.2">
      <c r="A68" s="43" t="s">
        <v>78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54">
        <f>SUM(B68:M68)</f>
        <v>0</v>
      </c>
      <c r="O68" s="56" t="s">
        <v>103</v>
      </c>
    </row>
    <row r="69" spans="1:16" x14ac:dyDescent="0.2">
      <c r="A69" s="44" t="s">
        <v>79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7870</v>
      </c>
      <c r="I69" s="23">
        <v>7870</v>
      </c>
      <c r="J69" s="23">
        <v>7870</v>
      </c>
      <c r="K69" s="23">
        <v>7870</v>
      </c>
      <c r="L69" s="23">
        <v>7870</v>
      </c>
      <c r="M69" s="23">
        <v>7870</v>
      </c>
      <c r="N69" s="59">
        <f>SUM(B69:M69)</f>
        <v>47220</v>
      </c>
      <c r="O69" s="1"/>
    </row>
    <row r="70" spans="1:16" x14ac:dyDescent="0.2">
      <c r="A70" s="44" t="s">
        <v>80</v>
      </c>
      <c r="B70" s="23">
        <f>B69-B68</f>
        <v>0</v>
      </c>
      <c r="C70" s="23">
        <f t="shared" ref="C70:M70" si="37">B70+(C69-C68)</f>
        <v>0</v>
      </c>
      <c r="D70" s="23">
        <f t="shared" si="37"/>
        <v>0</v>
      </c>
      <c r="E70" s="23">
        <f t="shared" si="37"/>
        <v>0</v>
      </c>
      <c r="F70" s="23">
        <f t="shared" si="37"/>
        <v>0</v>
      </c>
      <c r="G70" s="23">
        <f t="shared" si="37"/>
        <v>0</v>
      </c>
      <c r="H70" s="23">
        <f t="shared" si="37"/>
        <v>7870</v>
      </c>
      <c r="I70" s="23">
        <f t="shared" si="37"/>
        <v>15740</v>
      </c>
      <c r="J70" s="23">
        <f t="shared" si="37"/>
        <v>23610</v>
      </c>
      <c r="K70" s="23">
        <f t="shared" si="37"/>
        <v>31480</v>
      </c>
      <c r="L70" s="23">
        <f t="shared" si="37"/>
        <v>39350</v>
      </c>
      <c r="M70" s="23">
        <f t="shared" si="37"/>
        <v>47220</v>
      </c>
      <c r="N70" s="60"/>
      <c r="O70" s="52"/>
      <c r="P70" s="1"/>
    </row>
    <row r="71" spans="1:16" x14ac:dyDescent="0.2">
      <c r="A71" s="39" t="s">
        <v>73</v>
      </c>
      <c r="B71" s="29">
        <v>3495.48</v>
      </c>
      <c r="C71" s="29">
        <v>9602.75</v>
      </c>
      <c r="D71" s="29">
        <v>18274.48</v>
      </c>
      <c r="E71" s="29">
        <v>0</v>
      </c>
      <c r="F71" s="29">
        <v>9574.09</v>
      </c>
      <c r="G71" s="29">
        <f>54.99+3495.48</f>
        <v>3550.47</v>
      </c>
      <c r="H71" s="29">
        <v>-51.2</v>
      </c>
      <c r="I71" s="29">
        <v>6136.49</v>
      </c>
      <c r="J71" s="29">
        <v>3495.48</v>
      </c>
      <c r="K71" s="29">
        <v>14779</v>
      </c>
      <c r="L71" s="29">
        <v>6136.49</v>
      </c>
      <c r="M71" s="29">
        <v>0</v>
      </c>
      <c r="N71" s="54">
        <f>SUM(B71:M71)</f>
        <v>74993.530000000013</v>
      </c>
      <c r="O71" s="46" t="s">
        <v>94</v>
      </c>
    </row>
    <row r="72" spans="1:16" x14ac:dyDescent="0.2">
      <c r="A72" s="24" t="s">
        <v>88</v>
      </c>
      <c r="B72" s="23">
        <v>3495.48</v>
      </c>
      <c r="C72" s="23">
        <v>0</v>
      </c>
      <c r="D72" s="23">
        <v>9602.75</v>
      </c>
      <c r="E72" s="23">
        <f>14779+3495.48</f>
        <v>18274.48</v>
      </c>
      <c r="F72" s="23">
        <v>0</v>
      </c>
      <c r="G72" s="23">
        <v>9602.75</v>
      </c>
      <c r="H72" s="23">
        <v>3495.48</v>
      </c>
      <c r="I72" s="23">
        <v>0</v>
      </c>
      <c r="J72" s="23">
        <f>9602.75+3495.48-3466.26</f>
        <v>9631.9699999999993</v>
      </c>
      <c r="K72" s="23">
        <f>14779</f>
        <v>14779</v>
      </c>
      <c r="L72" s="23">
        <v>6136.49</v>
      </c>
      <c r="M72" s="23">
        <f>356.6</f>
        <v>356.6</v>
      </c>
      <c r="N72" s="1">
        <f>SUM(B72:M72)</f>
        <v>75375.000000000015</v>
      </c>
      <c r="O72" t="s">
        <v>84</v>
      </c>
    </row>
    <row r="73" spans="1:16" x14ac:dyDescent="0.2">
      <c r="A73" s="22" t="s">
        <v>89</v>
      </c>
      <c r="B73" s="23">
        <f>B72-B71</f>
        <v>0</v>
      </c>
      <c r="C73" s="23">
        <f t="shared" ref="C73:M73" si="38">B73+(C72-C71)</f>
        <v>-9602.75</v>
      </c>
      <c r="D73" s="23">
        <f t="shared" si="38"/>
        <v>-18274.48</v>
      </c>
      <c r="E73" s="23">
        <f t="shared" si="38"/>
        <v>0</v>
      </c>
      <c r="F73" s="23">
        <f t="shared" si="38"/>
        <v>-9574.09</v>
      </c>
      <c r="G73" s="23">
        <f t="shared" si="38"/>
        <v>-3521.8099999999995</v>
      </c>
      <c r="H73" s="23">
        <f t="shared" si="38"/>
        <v>24.870000000000346</v>
      </c>
      <c r="I73" s="23">
        <f t="shared" si="38"/>
        <v>-6111.619999999999</v>
      </c>
      <c r="J73" s="23">
        <f t="shared" si="38"/>
        <v>24.8700000000008</v>
      </c>
      <c r="K73" s="23">
        <f t="shared" si="38"/>
        <v>24.8700000000008</v>
      </c>
      <c r="L73" s="23">
        <f t="shared" si="38"/>
        <v>24.8700000000008</v>
      </c>
      <c r="M73" s="23">
        <f t="shared" si="38"/>
        <v>381.47000000000082</v>
      </c>
    </row>
    <row r="74" spans="1:16" x14ac:dyDescent="0.2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6" x14ac:dyDescent="0.2">
      <c r="A75" s="25" t="s">
        <v>57</v>
      </c>
      <c r="B75" s="26" t="s">
        <v>11</v>
      </c>
      <c r="C75" s="26" t="s">
        <v>13</v>
      </c>
      <c r="D75" s="26" t="s">
        <v>14</v>
      </c>
      <c r="E75" s="26" t="s">
        <v>15</v>
      </c>
      <c r="F75" s="26" t="s">
        <v>16</v>
      </c>
      <c r="G75" s="26" t="s">
        <v>17</v>
      </c>
      <c r="H75" s="26" t="s">
        <v>18</v>
      </c>
      <c r="I75" s="26" t="s">
        <v>19</v>
      </c>
      <c r="J75" s="26" t="s">
        <v>20</v>
      </c>
      <c r="K75" s="26" t="s">
        <v>21</v>
      </c>
      <c r="L75" s="26" t="s">
        <v>22</v>
      </c>
      <c r="M75" s="26" t="s">
        <v>23</v>
      </c>
      <c r="O75" s="1"/>
    </row>
    <row r="76" spans="1:16" x14ac:dyDescent="0.2">
      <c r="A76" s="27" t="s">
        <v>58</v>
      </c>
      <c r="B76" s="30">
        <v>299464.59999999998</v>
      </c>
      <c r="C76" s="30">
        <v>234665.23</v>
      </c>
      <c r="D76" s="30">
        <v>258208.7</v>
      </c>
      <c r="E76" s="30">
        <v>562466.5</v>
      </c>
      <c r="F76" s="30">
        <v>618219.80000000005</v>
      </c>
      <c r="G76" s="30">
        <v>582784.73</v>
      </c>
      <c r="H76" s="30">
        <v>497281.24</v>
      </c>
      <c r="I76" s="30">
        <v>361395.23</v>
      </c>
      <c r="J76" s="30">
        <v>316333.08</v>
      </c>
      <c r="K76" s="30">
        <v>546882.79</v>
      </c>
      <c r="L76" s="30">
        <v>527516.59</v>
      </c>
      <c r="M76" s="30">
        <v>392517.75</v>
      </c>
      <c r="O76" s="46" t="s">
        <v>86</v>
      </c>
    </row>
    <row r="77" spans="1:16" x14ac:dyDescent="0.2">
      <c r="A77" s="27" t="s">
        <v>3</v>
      </c>
      <c r="B77" s="30">
        <v>339264.22</v>
      </c>
      <c r="C77" s="30">
        <v>339443.36</v>
      </c>
      <c r="D77" s="30">
        <v>339624.32999999996</v>
      </c>
      <c r="E77" s="30">
        <v>339805.97</v>
      </c>
      <c r="F77" s="30">
        <v>340048.8</v>
      </c>
      <c r="G77" s="30">
        <v>340317.16</v>
      </c>
      <c r="H77" s="30">
        <v>340644.53</v>
      </c>
      <c r="I77" s="30">
        <f>341002.69</f>
        <v>341002.69</v>
      </c>
      <c r="J77" s="30">
        <v>341374.27</v>
      </c>
      <c r="K77" s="30">
        <v>341808.78</v>
      </c>
      <c r="L77" s="30">
        <v>342338.51</v>
      </c>
      <c r="M77" s="30">
        <v>342797.16</v>
      </c>
      <c r="O77" s="46" t="s">
        <v>85</v>
      </c>
    </row>
    <row r="78" spans="1:16" x14ac:dyDescent="0.2">
      <c r="A78" s="27" t="s">
        <v>72</v>
      </c>
      <c r="B78" s="28">
        <v>339116</v>
      </c>
      <c r="C78" s="28">
        <v>339116</v>
      </c>
      <c r="D78" s="28">
        <v>339116</v>
      </c>
      <c r="E78" s="28">
        <v>339116</v>
      </c>
      <c r="F78" s="28">
        <v>339116</v>
      </c>
      <c r="G78" s="28">
        <v>339116</v>
      </c>
      <c r="H78" s="28">
        <v>339116</v>
      </c>
      <c r="I78" s="28">
        <v>339116</v>
      </c>
      <c r="J78" s="28">
        <v>339116</v>
      </c>
      <c r="K78" s="28">
        <v>339116</v>
      </c>
      <c r="L78" s="28">
        <v>339116</v>
      </c>
      <c r="M78" s="28">
        <v>339116</v>
      </c>
    </row>
    <row r="79" spans="1:16" x14ac:dyDescent="0.2">
      <c r="A79" s="42" t="s">
        <v>76</v>
      </c>
      <c r="B79" s="30">
        <v>213927.94</v>
      </c>
      <c r="C79" s="30">
        <v>214017.77</v>
      </c>
      <c r="D79" s="30">
        <v>214108.47</v>
      </c>
      <c r="E79" s="30">
        <v>214199.48</v>
      </c>
      <c r="F79" s="30">
        <v>221006.58</v>
      </c>
      <c r="G79" s="30">
        <v>221140.89</v>
      </c>
      <c r="H79" s="30">
        <v>221304.67</v>
      </c>
      <c r="I79" s="30">
        <v>221483.59999999998</v>
      </c>
      <c r="J79" s="30">
        <v>221669.08</v>
      </c>
      <c r="K79" s="30">
        <v>221885.74</v>
      </c>
      <c r="L79" s="30">
        <v>64072.94</v>
      </c>
      <c r="M79" s="30">
        <v>64133.32</v>
      </c>
    </row>
    <row r="80" spans="1:16" x14ac:dyDescent="0.2">
      <c r="A80" s="42" t="s">
        <v>74</v>
      </c>
      <c r="B80" s="31">
        <v>196649.87</v>
      </c>
      <c r="C80" s="31">
        <v>196649.87</v>
      </c>
      <c r="D80" s="31">
        <v>196649.87</v>
      </c>
      <c r="E80" s="31">
        <v>196649.87</v>
      </c>
      <c r="F80" s="31">
        <v>196649.87</v>
      </c>
      <c r="G80" s="31">
        <v>196649.87</v>
      </c>
      <c r="H80" s="31">
        <v>196649.87</v>
      </c>
      <c r="I80" s="31">
        <v>196649.87</v>
      </c>
      <c r="J80" s="31">
        <v>196140.24</v>
      </c>
      <c r="K80" s="31">
        <v>196140.24</v>
      </c>
      <c r="L80" s="31">
        <v>196140.24</v>
      </c>
      <c r="M80" s="31">
        <v>196140.24</v>
      </c>
    </row>
    <row r="81" spans="1:16" x14ac:dyDescent="0.2">
      <c r="A81" s="42" t="s">
        <v>75</v>
      </c>
      <c r="B81" s="31">
        <v>39113.279999999999</v>
      </c>
      <c r="C81" s="31">
        <v>40882.31</v>
      </c>
      <c r="D81" s="31">
        <v>62534.939999999995</v>
      </c>
      <c r="E81" s="31">
        <v>134548.76999999999</v>
      </c>
      <c r="F81" s="31">
        <v>150437.07</v>
      </c>
      <c r="G81" s="31">
        <v>144440.32999999999</v>
      </c>
      <c r="H81" s="31">
        <v>145380.68</v>
      </c>
      <c r="I81" s="31">
        <v>146652.79999999999</v>
      </c>
      <c r="J81" s="31">
        <v>150723.75</v>
      </c>
      <c r="K81" s="31">
        <v>213306.33</v>
      </c>
      <c r="L81" s="31">
        <v>383914.54</v>
      </c>
      <c r="M81" s="31">
        <v>40242.629999999997</v>
      </c>
    </row>
    <row r="82" spans="1:16" x14ac:dyDescent="0.2">
      <c r="A82" s="27" t="s">
        <v>2</v>
      </c>
      <c r="B82" s="28">
        <f>SUM(B76:B81)-B78</f>
        <v>1088419.9099999999</v>
      </c>
      <c r="C82" s="28">
        <f t="shared" ref="C82:M82" si="39">SUM(C76:C81)-C78</f>
        <v>1025658.54</v>
      </c>
      <c r="D82" s="28">
        <f t="shared" si="39"/>
        <v>1071126.31</v>
      </c>
      <c r="E82" s="28">
        <f t="shared" si="39"/>
        <v>1447670.5899999999</v>
      </c>
      <c r="F82" s="28">
        <f t="shared" si="39"/>
        <v>1526362.1200000003</v>
      </c>
      <c r="G82" s="28">
        <f t="shared" si="39"/>
        <v>1485332.98</v>
      </c>
      <c r="H82" s="28">
        <f t="shared" si="39"/>
        <v>1401260.99</v>
      </c>
      <c r="I82" s="28">
        <f t="shared" si="39"/>
        <v>1267184.1900000002</v>
      </c>
      <c r="J82" s="28">
        <f t="shared" si="39"/>
        <v>1226240.4200000002</v>
      </c>
      <c r="K82" s="28">
        <f t="shared" si="39"/>
        <v>1520023.8800000001</v>
      </c>
      <c r="L82" s="28">
        <f t="shared" si="39"/>
        <v>1513982.82</v>
      </c>
      <c r="M82" s="28">
        <f t="shared" si="39"/>
        <v>1035831.0999999999</v>
      </c>
    </row>
    <row r="83" spans="1:16" x14ac:dyDescent="0.2">
      <c r="A83" s="27" t="s">
        <v>60</v>
      </c>
      <c r="B83" s="50">
        <v>0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</row>
    <row r="84" spans="1:16" x14ac:dyDescent="0.2">
      <c r="C84" s="1"/>
      <c r="D84" s="1"/>
      <c r="H84" s="32"/>
      <c r="I84" s="1"/>
      <c r="J84" s="1"/>
      <c r="N84" s="1">
        <f>SUM(M76+M77+M79+M80+M81)</f>
        <v>1035831.0999999999</v>
      </c>
    </row>
    <row r="85" spans="1:16" x14ac:dyDescent="0.2">
      <c r="H85" s="32"/>
      <c r="I85" s="51"/>
      <c r="O85" s="1"/>
    </row>
    <row r="86" spans="1:16" x14ac:dyDescent="0.2">
      <c r="H86" s="32"/>
      <c r="O86" s="52"/>
      <c r="P86" s="46"/>
    </row>
    <row r="88" spans="1:16" x14ac:dyDescent="0.2">
      <c r="L88" t="s">
        <v>95</v>
      </c>
    </row>
  </sheetData>
  <phoneticPr fontId="2" type="noConversion"/>
  <pageMargins left="0.39" right="0.36" top="1.04" bottom="0.64" header="0.44" footer="0.5"/>
  <pageSetup scale="61" fitToHeight="0" orientation="landscape" horizontalDpi="300" verticalDpi="300" r:id="rId1"/>
  <headerFooter alignWithMargins="0">
    <oddHeader>&amp;C&amp;16SOUTH WHIDBEY PARKS AND RECREATION DISTRICT
&amp;14MONTHLY BUDGET/ACTUAL REPORT (SUMMARIZED)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F66DA4F70FF146A7C415A1C187DCDC" ma:contentTypeVersion="14" ma:contentTypeDescription="Create a new document." ma:contentTypeScope="" ma:versionID="3109e8d8d242d6fc0ac51114205f0400">
  <xsd:schema xmlns:xsd="http://www.w3.org/2001/XMLSchema" xmlns:xs="http://www.w3.org/2001/XMLSchema" xmlns:p="http://schemas.microsoft.com/office/2006/metadata/properties" xmlns:ns2="90217175-477c-4f8e-a71e-742f4080fdd3" xmlns:ns3="da629125-76a3-4e03-aeb6-5c2f28631fff" targetNamespace="http://schemas.microsoft.com/office/2006/metadata/properties" ma:root="true" ma:fieldsID="aa5b43d92ad72e26cf0266b2e03326f3" ns2:_="" ns3:_="">
    <xsd:import namespace="90217175-477c-4f8e-a71e-742f4080fdd3"/>
    <xsd:import namespace="da629125-76a3-4e03-aeb6-5c2f28631f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17175-477c-4f8e-a71e-742f4080fd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360bb62f-0335-4801-8c37-4e135ecb458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629125-76a3-4e03-aeb6-5c2f28631ff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37f2181-3fdb-4dec-973a-3f536406a70a}" ma:internalName="TaxCatchAll" ma:showField="CatchAllData" ma:web="da629125-76a3-4e03-aeb6-5c2f28631f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629125-76a3-4e03-aeb6-5c2f28631fff" xsi:nil="true"/>
    <lcf76f155ced4ddcb4097134ff3c332f xmlns="90217175-477c-4f8e-a71e-742f4080fdd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0DE66A-0688-44BA-9B23-CFE21CB7E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217175-477c-4f8e-a71e-742f4080fdd3"/>
    <ds:schemaRef ds:uri="da629125-76a3-4e03-aeb6-5c2f28631f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3831D1-44D8-406B-84E8-A1AFDE65E7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3C056F-AD6A-4885-AF52-87C566DED2F9}">
  <ds:schemaRefs>
    <ds:schemaRef ds:uri="http://purl.org/dc/elements/1.1/"/>
    <ds:schemaRef ds:uri="http://schemas.microsoft.com/office/2006/documentManagement/types"/>
    <ds:schemaRef ds:uri="da629125-76a3-4e03-aeb6-5c2f28631fff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90217175-477c-4f8e-a71e-742f4080fdd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TreasurerQuad</vt:lpstr>
      <vt:lpstr>Overall</vt:lpstr>
      <vt:lpstr>Revenue</vt:lpstr>
      <vt:lpstr>Expense</vt:lpstr>
      <vt:lpstr>Fund Balances</vt:lpstr>
      <vt:lpstr>ChartData (2022)</vt:lpstr>
      <vt:lpstr>'ChartData (2022)'!Print_Area</vt:lpstr>
      <vt:lpstr>TreasurerQuad!Print_Area</vt:lpstr>
    </vt:vector>
  </TitlesOfParts>
  <Company>SWPR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South Whidbey ParksRec</cp:lastModifiedBy>
  <cp:lastPrinted>2023-01-13T22:55:50Z</cp:lastPrinted>
  <dcterms:created xsi:type="dcterms:W3CDTF">2007-02-13T00:23:24Z</dcterms:created>
  <dcterms:modified xsi:type="dcterms:W3CDTF">2023-01-13T23:36:39Z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0x01010057F66DA4F70FF146A7C415A1C187DCDC</vt:lpwstr>
  </property>
  <property fmtid="{D5CDD505-2E9C-101B-9397-08002B2CF9AE}" pid="3" name="MediaServiceImageTags">
    <vt:lpwstr/>
  </property>
</Properties>
</file>