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3 Meeting Docs/"/>
    </mc:Choice>
  </mc:AlternateContent>
  <xr:revisionPtr revIDLastSave="0" documentId="8_{0345EAFC-0D48-4E6A-970E-D5CC0734075D}" xr6:coauthVersionLast="47" xr6:coauthVersionMax="47" xr10:uidLastSave="{00000000-0000-0000-0000-000000000000}"/>
  <bookViews>
    <workbookView xWindow="-120" yWindow="-120" windowWidth="29040" windowHeight="15840" tabRatio="675" xr2:uid="{00000000-000D-0000-FFFF-FFFF00000000}"/>
  </bookViews>
  <sheets>
    <sheet name="TreasurerQuad" sheetId="10" r:id="rId1"/>
    <sheet name="Overall" sheetId="17" r:id="rId2"/>
    <sheet name="Revenue" sheetId="18" r:id="rId3"/>
    <sheet name="Expense" sheetId="19" r:id="rId4"/>
    <sheet name="Fund Balances" sheetId="20" r:id="rId5"/>
    <sheet name="ChartData (2023)" sheetId="7" r:id="rId6"/>
  </sheets>
  <definedNames>
    <definedName name="_xlnm.Print_Area" localSheetId="5">'ChartData (2023)'!$A$1:$M$83</definedName>
    <definedName name="_xlnm.Print_Area" localSheetId="0">TreasurerQuad!$A$1:$AC$71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58" i="7"/>
  <c r="C64" i="7"/>
  <c r="B64" i="7"/>
  <c r="C45" i="7"/>
  <c r="D72" i="7"/>
  <c r="B54" i="7"/>
  <c r="B43" i="7"/>
  <c r="N37" i="7"/>
  <c r="E37" i="7"/>
  <c r="B18" i="7"/>
  <c r="N56" i="7"/>
  <c r="J50" i="7"/>
  <c r="K50" i="7"/>
  <c r="L50" i="7"/>
  <c r="M50" i="7"/>
  <c r="J18" i="7"/>
  <c r="J16" i="7"/>
  <c r="M16" i="7"/>
  <c r="Q39" i="7"/>
  <c r="Q34" i="7"/>
  <c r="I82" i="7"/>
  <c r="N59" i="7"/>
  <c r="N71" i="7"/>
  <c r="N68" i="7"/>
  <c r="N65" i="7"/>
  <c r="N62" i="7"/>
  <c r="N53" i="7"/>
  <c r="N48" i="7"/>
  <c r="N45" i="7"/>
  <c r="N42" i="7"/>
  <c r="N39" i="7"/>
  <c r="N36" i="7"/>
  <c r="N33" i="7"/>
  <c r="C22" i="7"/>
  <c r="B82" i="7"/>
  <c r="M82" i="7"/>
  <c r="L82" i="7"/>
  <c r="K82" i="7"/>
  <c r="J82" i="7"/>
  <c r="H82" i="7"/>
  <c r="G82" i="7"/>
  <c r="F82" i="7"/>
  <c r="E82" i="7"/>
  <c r="D82" i="7"/>
  <c r="C82" i="7"/>
  <c r="C24" i="7"/>
  <c r="D24" i="7"/>
  <c r="F24" i="7"/>
  <c r="G24" i="7"/>
  <c r="H24" i="7"/>
  <c r="I24" i="7"/>
  <c r="L24" i="7"/>
  <c r="B24" i="7"/>
  <c r="B25" i="7"/>
  <c r="M18" i="7"/>
  <c r="N49" i="7"/>
  <c r="N46" i="7"/>
  <c r="K24" i="7"/>
  <c r="E24" i="7"/>
  <c r="J24" i="7"/>
  <c r="M24" i="7"/>
  <c r="B22" i="7"/>
  <c r="B23" i="7"/>
  <c r="B35" i="7"/>
  <c r="C35" i="7"/>
  <c r="D35" i="7"/>
  <c r="E35" i="7"/>
  <c r="N84" i="7"/>
  <c r="I16" i="7"/>
  <c r="B16" i="7"/>
  <c r="B17" i="7"/>
  <c r="N63" i="7"/>
  <c r="H16" i="7"/>
  <c r="F16" i="7"/>
  <c r="M22" i="7"/>
  <c r="K16" i="7"/>
  <c r="G22" i="7"/>
  <c r="E16" i="7"/>
  <c r="C16" i="7"/>
  <c r="K22" i="7"/>
  <c r="E22" i="7"/>
  <c r="D22" i="7"/>
  <c r="J22" i="7"/>
  <c r="I22" i="7"/>
  <c r="H22" i="7"/>
  <c r="N69" i="7"/>
  <c r="B70" i="7"/>
  <c r="C70" i="7"/>
  <c r="D70" i="7"/>
  <c r="E70" i="7"/>
  <c r="F70" i="7"/>
  <c r="G70" i="7"/>
  <c r="H70" i="7"/>
  <c r="I70" i="7"/>
  <c r="J70" i="7"/>
  <c r="K70" i="7"/>
  <c r="L70" i="7"/>
  <c r="M70" i="7"/>
  <c r="B73" i="7"/>
  <c r="C73" i="7"/>
  <c r="D73" i="7"/>
  <c r="E73" i="7"/>
  <c r="F73" i="7"/>
  <c r="G73" i="7"/>
  <c r="H73" i="7"/>
  <c r="I73" i="7"/>
  <c r="J73" i="7"/>
  <c r="K73" i="7"/>
  <c r="L73" i="7"/>
  <c r="M73" i="7"/>
  <c r="N54" i="7"/>
  <c r="G18" i="7"/>
  <c r="F18" i="7"/>
  <c r="B38" i="7"/>
  <c r="C38" i="7"/>
  <c r="D38" i="7"/>
  <c r="E38" i="7"/>
  <c r="F38" i="7"/>
  <c r="G38" i="7"/>
  <c r="H38" i="7"/>
  <c r="I38" i="7"/>
  <c r="J38" i="7"/>
  <c r="K38" i="7"/>
  <c r="L38" i="7"/>
  <c r="M38" i="7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/>
  <c r="F44" i="7"/>
  <c r="G44" i="7"/>
  <c r="H44" i="7"/>
  <c r="I44" i="7"/>
  <c r="J44" i="7"/>
  <c r="K44" i="7"/>
  <c r="L44" i="7"/>
  <c r="M44" i="7"/>
  <c r="B41" i="7"/>
  <c r="C41" i="7"/>
  <c r="D41" i="7"/>
  <c r="E41" i="7"/>
  <c r="F41" i="7"/>
  <c r="G41" i="7"/>
  <c r="H41" i="7"/>
  <c r="I41" i="7"/>
  <c r="J41" i="7"/>
  <c r="K41" i="7"/>
  <c r="L41" i="7"/>
  <c r="M41" i="7"/>
  <c r="D64" i="7"/>
  <c r="B67" i="7"/>
  <c r="B58" i="7"/>
  <c r="D58" i="7"/>
  <c r="E58" i="7"/>
  <c r="F58" i="7"/>
  <c r="G58" i="7"/>
  <c r="H58" i="7"/>
  <c r="I58" i="7"/>
  <c r="J58" i="7"/>
  <c r="K58" i="7"/>
  <c r="L58" i="7"/>
  <c r="M58" i="7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F22" i="7"/>
  <c r="G16" i="7"/>
  <c r="L22" i="7"/>
  <c r="D16" i="7"/>
  <c r="C67" i="7"/>
  <c r="D67" i="7"/>
  <c r="E67" i="7"/>
  <c r="F67" i="7"/>
  <c r="G67" i="7"/>
  <c r="B47" i="7"/>
  <c r="C47" i="7"/>
  <c r="D47" i="7"/>
  <c r="E47" i="7"/>
  <c r="F47" i="7"/>
  <c r="G47" i="7"/>
  <c r="H47" i="7"/>
  <c r="I47" i="7"/>
  <c r="J47" i="7"/>
  <c r="K47" i="7"/>
  <c r="L47" i="7"/>
  <c r="M47" i="7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D61" i="7"/>
  <c r="E61" i="7"/>
  <c r="F61" i="7"/>
  <c r="G61" i="7"/>
  <c r="H61" i="7"/>
  <c r="I61" i="7"/>
  <c r="J61" i="7"/>
  <c r="K61" i="7"/>
  <c r="L61" i="7"/>
  <c r="M61" i="7"/>
  <c r="K10" i="7"/>
  <c r="L10" i="7"/>
  <c r="M10" i="7"/>
  <c r="B13" i="7"/>
  <c r="C13" i="7"/>
  <c r="D13" i="7"/>
  <c r="E13" i="7"/>
  <c r="F13" i="7"/>
  <c r="G13" i="7"/>
  <c r="H13" i="7"/>
  <c r="I13" i="7"/>
  <c r="J13" i="7"/>
  <c r="K13" i="7"/>
  <c r="L13" i="7"/>
  <c r="M13" i="7"/>
  <c r="C25" i="7"/>
  <c r="D25" i="7"/>
  <c r="E25" i="7"/>
  <c r="F25" i="7"/>
  <c r="G25" i="7"/>
  <c r="H25" i="7"/>
  <c r="I25" i="7"/>
  <c r="J25" i="7"/>
  <c r="K25" i="7"/>
  <c r="L25" i="7"/>
  <c r="M25" i="7"/>
  <c r="C27" i="7"/>
  <c r="D27" i="7"/>
  <c r="E27" i="7"/>
  <c r="F27" i="7"/>
  <c r="G27" i="7"/>
  <c r="H27" i="7"/>
  <c r="I27" i="7"/>
  <c r="J27" i="7"/>
  <c r="K27" i="7"/>
  <c r="L27" i="7"/>
  <c r="M27" i="7"/>
  <c r="R50" i="7"/>
  <c r="N24" i="7"/>
  <c r="C19" i="7"/>
  <c r="D19" i="7"/>
  <c r="E19" i="7"/>
  <c r="B30" i="7"/>
  <c r="N18" i="7"/>
  <c r="R49" i="7"/>
  <c r="Q33" i="7"/>
  <c r="C23" i="7"/>
  <c r="D23" i="7"/>
  <c r="C8" i="7"/>
  <c r="D55" i="7"/>
  <c r="B8" i="7"/>
  <c r="B11" i="7"/>
  <c r="B26" i="7"/>
  <c r="B2" i="7"/>
  <c r="B5" i="7"/>
  <c r="B6" i="7"/>
  <c r="C2" i="7"/>
  <c r="D2" i="7"/>
  <c r="B29" i="7"/>
  <c r="B20" i="7"/>
  <c r="F35" i="7"/>
  <c r="E2" i="7"/>
  <c r="P50" i="7"/>
  <c r="R37" i="7"/>
  <c r="P49" i="7"/>
  <c r="R33" i="7"/>
  <c r="H67" i="7"/>
  <c r="I67" i="7"/>
  <c r="J67" i="7"/>
  <c r="K67" i="7"/>
  <c r="L67" i="7"/>
  <c r="M67" i="7"/>
  <c r="C30" i="7"/>
  <c r="R51" i="7"/>
  <c r="D30" i="7"/>
  <c r="E30" i="7"/>
  <c r="F19" i="7"/>
  <c r="C26" i="7"/>
  <c r="E23" i="7"/>
  <c r="D26" i="7"/>
  <c r="P51" i="7"/>
  <c r="B12" i="7"/>
  <c r="C11" i="7"/>
  <c r="E55" i="7"/>
  <c r="D8" i="7"/>
  <c r="C5" i="7"/>
  <c r="C6" i="7"/>
  <c r="F2" i="7"/>
  <c r="G35" i="7"/>
  <c r="B31" i="7"/>
  <c r="B28" i="7"/>
  <c r="D17" i="7"/>
  <c r="C29" i="7"/>
  <c r="C20" i="7"/>
  <c r="R53" i="7"/>
  <c r="G19" i="7"/>
  <c r="F30" i="7"/>
  <c r="F55" i="7"/>
  <c r="E8" i="7"/>
  <c r="C12" i="7"/>
  <c r="D11" i="7"/>
  <c r="E26" i="7"/>
  <c r="F23" i="7"/>
  <c r="D5" i="7"/>
  <c r="E5" i="7"/>
  <c r="D20" i="7"/>
  <c r="D29" i="7"/>
  <c r="E17" i="7"/>
  <c r="D6" i="7"/>
  <c r="C31" i="7"/>
  <c r="C28" i="7"/>
  <c r="H35" i="7"/>
  <c r="G2" i="7"/>
  <c r="H19" i="7"/>
  <c r="G30" i="7"/>
  <c r="F8" i="7"/>
  <c r="G55" i="7"/>
  <c r="E11" i="7"/>
  <c r="E12" i="7"/>
  <c r="D12" i="7"/>
  <c r="G23" i="7"/>
  <c r="F26" i="7"/>
  <c r="F5" i="7"/>
  <c r="E6" i="7"/>
  <c r="D31" i="7"/>
  <c r="D28" i="7"/>
  <c r="I35" i="7"/>
  <c r="H2" i="7"/>
  <c r="E20" i="7"/>
  <c r="F17" i="7"/>
  <c r="E29" i="7"/>
  <c r="H30" i="7"/>
  <c r="I19" i="7"/>
  <c r="F11" i="7"/>
  <c r="F12" i="7"/>
  <c r="H23" i="7"/>
  <c r="G26" i="7"/>
  <c r="H55" i="7"/>
  <c r="G8" i="7"/>
  <c r="I2" i="7"/>
  <c r="J35" i="7"/>
  <c r="G5" i="7"/>
  <c r="G6" i="7"/>
  <c r="F6" i="7"/>
  <c r="G17" i="7"/>
  <c r="F20" i="7"/>
  <c r="F29" i="7"/>
  <c r="E31" i="7"/>
  <c r="E28" i="7"/>
  <c r="G11" i="7"/>
  <c r="G12" i="7"/>
  <c r="I30" i="7"/>
  <c r="J19" i="7"/>
  <c r="I55" i="7"/>
  <c r="H8" i="7"/>
  <c r="I23" i="7"/>
  <c r="H26" i="7"/>
  <c r="H5" i="7"/>
  <c r="I5" i="7"/>
  <c r="G20" i="7"/>
  <c r="H17" i="7"/>
  <c r="G29" i="7"/>
  <c r="F31" i="7"/>
  <c r="F28" i="7"/>
  <c r="K35" i="7"/>
  <c r="J2" i="7"/>
  <c r="H11" i="7"/>
  <c r="H12" i="7"/>
  <c r="H6" i="7"/>
  <c r="K19" i="7"/>
  <c r="J30" i="7"/>
  <c r="J55" i="7"/>
  <c r="I8" i="7"/>
  <c r="I26" i="7"/>
  <c r="J23" i="7"/>
  <c r="I6" i="7"/>
  <c r="J5" i="7"/>
  <c r="G31" i="7"/>
  <c r="G28" i="7"/>
  <c r="K2" i="7"/>
  <c r="L35" i="7"/>
  <c r="I17" i="7"/>
  <c r="H20" i="7"/>
  <c r="H29" i="7"/>
  <c r="I11" i="7"/>
  <c r="I12" i="7"/>
  <c r="L19" i="7"/>
  <c r="K30" i="7"/>
  <c r="J26" i="7"/>
  <c r="K23" i="7"/>
  <c r="J8" i="7"/>
  <c r="K55" i="7"/>
  <c r="H31" i="7"/>
  <c r="H28" i="7"/>
  <c r="J17" i="7"/>
  <c r="I20" i="7"/>
  <c r="I29" i="7"/>
  <c r="L2" i="7"/>
  <c r="M35" i="7"/>
  <c r="M2" i="7"/>
  <c r="J6" i="7"/>
  <c r="K5" i="7"/>
  <c r="J11" i="7"/>
  <c r="J12" i="7"/>
  <c r="M19" i="7"/>
  <c r="L30" i="7"/>
  <c r="K8" i="7"/>
  <c r="L55" i="7"/>
  <c r="L23" i="7"/>
  <c r="K26" i="7"/>
  <c r="N2" i="7"/>
  <c r="K6" i="7"/>
  <c r="L5" i="7"/>
  <c r="I31" i="7"/>
  <c r="I28" i="7"/>
  <c r="J20" i="7"/>
  <c r="K17" i="7"/>
  <c r="J29" i="7"/>
  <c r="K11" i="7"/>
  <c r="C21" i="7"/>
  <c r="D21" i="7"/>
  <c r="E21" i="7"/>
  <c r="F21" i="7"/>
  <c r="G21" i="7"/>
  <c r="H21" i="7"/>
  <c r="I21" i="7"/>
  <c r="J21" i="7"/>
  <c r="K21" i="7"/>
  <c r="L21" i="7"/>
  <c r="M21" i="7"/>
  <c r="M30" i="7"/>
  <c r="L26" i="7"/>
  <c r="M23" i="7"/>
  <c r="M26" i="7"/>
  <c r="K12" i="7"/>
  <c r="L8" i="7"/>
  <c r="M55" i="7"/>
  <c r="M8" i="7"/>
  <c r="L17" i="7"/>
  <c r="K29" i="7"/>
  <c r="K20" i="7"/>
  <c r="K28" i="7"/>
  <c r="L6" i="7"/>
  <c r="M5" i="7"/>
  <c r="M6" i="7"/>
  <c r="J31" i="7"/>
  <c r="J28" i="7"/>
  <c r="N7" i="7"/>
  <c r="L11" i="7"/>
  <c r="L12" i="7"/>
  <c r="M17" i="7"/>
  <c r="L20" i="7"/>
  <c r="L28" i="7"/>
  <c r="L29" i="7"/>
  <c r="M11" i="7"/>
  <c r="M12" i="7"/>
  <c r="M20" i="7"/>
  <c r="M28" i="7"/>
  <c r="M2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</author>
    <author>tc={ACFAFE01-CC87-478E-93B1-94014C695A26}</author>
  </authors>
  <commentList>
    <comment ref="B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</text>
    </comment>
    <comment ref="B7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1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reserve required from 5 year projection</t>
      </text>
    </comment>
    <comment ref="C80" authorId="0" shapeId="0" xr:uid="{A3541935-F02B-4720-88C9-962A0AAF6769}">
      <text>
        <r>
          <rPr>
            <b/>
            <sz val="9"/>
            <color indexed="81"/>
            <rFont val="Tahoma"/>
            <family val="2"/>
          </rPr>
          <t>Carrie: $2978 Davido Consulting Group Septic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<sst xmlns="http://schemas.openxmlformats.org/spreadsheetml/2006/main" count="168" uniqueCount="106">
  <si>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</si>
  <si>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</si>
  <si>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</si>
  <si>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</si>
  <si>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</si>
  <si>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</si>
  <si>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</si>
  <si>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</si>
  <si>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</si>
  <si>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</si>
  <si>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</si>
  <si>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</si>
  <si>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</si>
  <si>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</si>
  <si>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</si>
  <si>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</si>
  <si>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</si>
  <si>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</si>
  <si>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</si>
  <si>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</si>
  <si>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</si>
  <si>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</si>
  <si>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</si>
  <si>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</si>
  <si>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</si>
  <si>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</si>
  <si>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</si>
  <si>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</si>
  <si>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</si>
  <si>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</si>
  <si>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</si>
  <si>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</si>
  <si>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</si>
  <si>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</si>
  <si>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</si>
  <si>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</si>
  <si>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</si>
  <si>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</si>
  <si>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</si>
  <si>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</si>
  <si>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</si>
  <si>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</si>
  <si>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</si>
  <si>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</si>
  <si>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</si>
  <si>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</si>
  <si>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</si>
  <si>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</si>
  <si>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</si>
  <si>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</si>
  <si>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</si>
  <si>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</si>
  <si>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</si>
  <si>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</si>
  <si>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</si>
  <si>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</si>
  <si>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</si>
  <si>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</si>
  <si>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</si>
  <si>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</si>
  <si>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</si>
  <si>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</si>
  <si>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</si>
  <si>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</si>
  <si>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</si>
  <si>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</si>
  <si>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</si>
  <si>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</si>
  <si>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</si>
  <si>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</si>
  <si>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</si>
  <si>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</si>
  <si>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</si>
  <si>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</si>
  <si>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</si>
  <si>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</si>
  <si>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</si>
  <si>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Interest from M&amp;O and Reserve</t>
  </si>
  <si>
    <t>Campground Actual</t>
  </si>
  <si>
    <t>Campground Budget</t>
  </si>
  <si>
    <t>Campground vs. Budget</t>
  </si>
  <si>
    <t>Total Admin plus 6-8006, 6-8008, 6-2950</t>
  </si>
  <si>
    <t>Campground, misc loans</t>
  </si>
  <si>
    <t>Inclu interest, also included in m/o above</t>
  </si>
  <si>
    <t>Should agree with Total Income bottom line on Profit &amp; Loss Statement</t>
  </si>
  <si>
    <t>Our total, not County</t>
  </si>
  <si>
    <t>Detail Notes</t>
  </si>
  <si>
    <t>Should agree with Total Income bottom line on Profit &amp; Loss Statement BEFORE loans added</t>
  </si>
  <si>
    <t>Loan Payments/Fees Budget</t>
  </si>
  <si>
    <t>Loan Payments/Fees vs. Budget</t>
  </si>
  <si>
    <t>Levy, Timber Excise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</si>
  <si>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</si>
  <si>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</si>
  <si>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</si>
  <si>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</si>
  <si>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 xml:space="preserve"> </t>
  </si>
  <si>
    <t>Revenue</t>
  </si>
  <si>
    <t>Expense</t>
  </si>
  <si>
    <t>6-3001</t>
  </si>
  <si>
    <t>Programs, ad sales, scholarship donations</t>
  </si>
  <si>
    <t>Other Revenue 4-8005. For 2023 included Reserve Transfer</t>
  </si>
  <si>
    <t>For 2023 included reserve transfer</t>
  </si>
  <si>
    <t>Changing this to Mis Actual to include Reserve Transfer</t>
  </si>
  <si>
    <t>Misc vs Budget</t>
  </si>
  <si>
    <t>Reserve Transfer Out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</si>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</sst>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17" fontId="1" fillId="0" borderId="0" xfId="0" applyNumberFormat="1" applyFont="1" applyAlignment="1">
      <alignment horizontal="left"/>
    </xf>
    <xf numFmtId="7" fontId="3" fillId="7" borderId="0" xfId="0" applyNumberFormat="1" applyFont="1" applyFill="1"/>
    <xf numFmtId="164" fontId="0" fillId="0" borderId="0" xfId="0" applyNumberFormat="1"/>
    <xf numFmtId="0" fontId="1" fillId="0" borderId="0" xfId="0" quotePrefix="1" applyFont="1"/>
    <xf numFmtId="7" fontId="0" fillId="8" borderId="0" xfId="0" applyNumberFormat="1" applyFill="1"/>
    <xf numFmtId="164" fontId="8" fillId="8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6142985180789"/>
          <c:y val="6.9246441755756144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31098779487752"/>
          <c:y val="0.29618287049636849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8064871741145"/>
          <c:y val="9.2905081005986087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69472.94</c:v>
                </c:pt>
                <c:pt idx="3">
                  <c:v>69472.94</c:v>
                </c:pt>
                <c:pt idx="4">
                  <c:v>69472.94</c:v>
                </c:pt>
                <c:pt idx="5">
                  <c:v>69472.94</c:v>
                </c:pt>
                <c:pt idx="6">
                  <c:v>69472.94</c:v>
                </c:pt>
                <c:pt idx="7">
                  <c:v>69472.94</c:v>
                </c:pt>
                <c:pt idx="8">
                  <c:v>69472.94</c:v>
                </c:pt>
                <c:pt idx="9">
                  <c:v>69472.94</c:v>
                </c:pt>
                <c:pt idx="10">
                  <c:v>69472.94</c:v>
                </c:pt>
                <c:pt idx="11">
                  <c:v>69472.94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-205606.49</c:v>
                </c:pt>
                <c:pt idx="3">
                  <c:v>-205606.49</c:v>
                </c:pt>
                <c:pt idx="4">
                  <c:v>-205606.49</c:v>
                </c:pt>
                <c:pt idx="5">
                  <c:v>-205606.49</c:v>
                </c:pt>
                <c:pt idx="6">
                  <c:v>-205606.49</c:v>
                </c:pt>
                <c:pt idx="7">
                  <c:v>-205606.49</c:v>
                </c:pt>
                <c:pt idx="8">
                  <c:v>-205606.49</c:v>
                </c:pt>
                <c:pt idx="9">
                  <c:v>-205606.49</c:v>
                </c:pt>
                <c:pt idx="10">
                  <c:v>-205606.49</c:v>
                </c:pt>
                <c:pt idx="11">
                  <c:v>-205606.49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-136133.54999999999</c:v>
                </c:pt>
                <c:pt idx="3">
                  <c:v>-136133.54999999999</c:v>
                </c:pt>
                <c:pt idx="4">
                  <c:v>-136133.54999999999</c:v>
                </c:pt>
                <c:pt idx="5">
                  <c:v>-136133.54999999999</c:v>
                </c:pt>
                <c:pt idx="6">
                  <c:v>-136133.54999999999</c:v>
                </c:pt>
                <c:pt idx="7">
                  <c:v>-136133.54999999999</c:v>
                </c:pt>
                <c:pt idx="8">
                  <c:v>-136133.54999999999</c:v>
                </c:pt>
                <c:pt idx="9">
                  <c:v>-136133.54999999999</c:v>
                </c:pt>
                <c:pt idx="10">
                  <c:v>-136133.54999999999</c:v>
                </c:pt>
                <c:pt idx="11">
                  <c:v>-136133.54999999999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19775887"/>
          <c:y val="0.10392466167358488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-185515.62</c:v>
                </c:pt>
                <c:pt idx="3">
                  <c:v>-760515.62</c:v>
                </c:pt>
                <c:pt idx="4">
                  <c:v>-887890.62</c:v>
                </c:pt>
                <c:pt idx="5">
                  <c:v>-909890.62</c:v>
                </c:pt>
                <c:pt idx="6">
                  <c:v>-917490.62</c:v>
                </c:pt>
                <c:pt idx="7">
                  <c:v>-927490.62</c:v>
                </c:pt>
                <c:pt idx="8">
                  <c:v>-958090.62</c:v>
                </c:pt>
                <c:pt idx="9">
                  <c:v>-1458090.62</c:v>
                </c:pt>
                <c:pt idx="10">
                  <c:v>-1573465.62</c:v>
                </c:pt>
                <c:pt idx="11">
                  <c:v>-1580511.62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-350.79999999999927</c:v>
                </c:pt>
                <c:pt idx="3">
                  <c:v>-32597.8</c:v>
                </c:pt>
                <c:pt idx="4">
                  <c:v>-92038.8</c:v>
                </c:pt>
                <c:pt idx="5">
                  <c:v>-116324.8</c:v>
                </c:pt>
                <c:pt idx="6">
                  <c:v>-127938.8</c:v>
                </c:pt>
                <c:pt idx="7">
                  <c:v>-135305.79999999999</c:v>
                </c:pt>
                <c:pt idx="8">
                  <c:v>-142872.79999999999</c:v>
                </c:pt>
                <c:pt idx="9">
                  <c:v>-154814.79999999999</c:v>
                </c:pt>
                <c:pt idx="10">
                  <c:v>-165311.79999999999</c:v>
                </c:pt>
                <c:pt idx="11">
                  <c:v>-173074.8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-60</c:v>
                </c:pt>
                <c:pt idx="3">
                  <c:v>-460</c:v>
                </c:pt>
                <c:pt idx="4">
                  <c:v>-1310</c:v>
                </c:pt>
                <c:pt idx="5">
                  <c:v>-1410</c:v>
                </c:pt>
                <c:pt idx="6">
                  <c:v>-2410</c:v>
                </c:pt>
                <c:pt idx="7">
                  <c:v>-2610</c:v>
                </c:pt>
                <c:pt idx="8">
                  <c:v>-2710</c:v>
                </c:pt>
                <c:pt idx="9">
                  <c:v>-2810</c:v>
                </c:pt>
                <c:pt idx="10">
                  <c:v>-2910</c:v>
                </c:pt>
                <c:pt idx="11">
                  <c:v>-2910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-110</c:v>
                </c:pt>
                <c:pt idx="4">
                  <c:v>-140</c:v>
                </c:pt>
                <c:pt idx="5">
                  <c:v>-170</c:v>
                </c:pt>
                <c:pt idx="6">
                  <c:v>-200</c:v>
                </c:pt>
                <c:pt idx="7">
                  <c:v>-230</c:v>
                </c:pt>
                <c:pt idx="8">
                  <c:v>-260</c:v>
                </c:pt>
                <c:pt idx="9">
                  <c:v>-290</c:v>
                </c:pt>
                <c:pt idx="10">
                  <c:v>-320</c:v>
                </c:pt>
                <c:pt idx="11">
                  <c:v>-350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545.3599999999999</c:v>
                </c:pt>
                <c:pt idx="3">
                  <c:v>195.3599999999999</c:v>
                </c:pt>
                <c:pt idx="4">
                  <c:v>-154.6400000000001</c:v>
                </c:pt>
                <c:pt idx="5">
                  <c:v>-504.6400000000001</c:v>
                </c:pt>
                <c:pt idx="6">
                  <c:v>-879.6400000000001</c:v>
                </c:pt>
                <c:pt idx="7">
                  <c:v>-1254.6400000000001</c:v>
                </c:pt>
                <c:pt idx="8">
                  <c:v>-1629.64</c:v>
                </c:pt>
                <c:pt idx="9">
                  <c:v>-2004.64</c:v>
                </c:pt>
                <c:pt idx="10">
                  <c:v>-2354.6400000000003</c:v>
                </c:pt>
                <c:pt idx="11">
                  <c:v>-2704.6400000000003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2-46B5-8D74-7C281FD8F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-185461.06</c:v>
                </c:pt>
                <c:pt idx="3">
                  <c:v>-793488.06</c:v>
                </c:pt>
                <c:pt idx="4">
                  <c:v>-981534.06</c:v>
                </c:pt>
                <c:pt idx="5">
                  <c:v>-1028300.06</c:v>
                </c:pt>
                <c:pt idx="6">
                  <c:v>-1048919.06</c:v>
                </c:pt>
                <c:pt idx="7">
                  <c:v>-1066891.06</c:v>
                </c:pt>
                <c:pt idx="8">
                  <c:v>-1105563.06</c:v>
                </c:pt>
                <c:pt idx="9">
                  <c:v>-1618010.06</c:v>
                </c:pt>
                <c:pt idx="10">
                  <c:v>-1744362.06</c:v>
                </c:pt>
                <c:pt idx="11">
                  <c:v>-1806771.06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15153078013789389"/>
          <c:h val="0.2145907464046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936056352204458"/>
          <c:y val="9.095726895524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58871.899999999994</c:v>
                </c:pt>
                <c:pt idx="3">
                  <c:v>113208.37</c:v>
                </c:pt>
                <c:pt idx="4">
                  <c:v>152659.03999999998</c:v>
                </c:pt>
                <c:pt idx="5">
                  <c:v>192246.50999999998</c:v>
                </c:pt>
                <c:pt idx="6">
                  <c:v>239023.97999999998</c:v>
                </c:pt>
                <c:pt idx="7">
                  <c:v>313406.44999999995</c:v>
                </c:pt>
                <c:pt idx="8">
                  <c:v>366998.91999999993</c:v>
                </c:pt>
                <c:pt idx="9">
                  <c:v>412394.8899999999</c:v>
                </c:pt>
                <c:pt idx="10">
                  <c:v>451427.75999999989</c:v>
                </c:pt>
                <c:pt idx="11">
                  <c:v>546697.58999999985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34995.35</c:v>
                </c:pt>
                <c:pt idx="3">
                  <c:v>68254.350000000006</c:v>
                </c:pt>
                <c:pt idx="4">
                  <c:v>98360.35</c:v>
                </c:pt>
                <c:pt idx="5">
                  <c:v>127565.35</c:v>
                </c:pt>
                <c:pt idx="6">
                  <c:v>156871.35</c:v>
                </c:pt>
                <c:pt idx="7">
                  <c:v>190626.35</c:v>
                </c:pt>
                <c:pt idx="8">
                  <c:v>226032.35</c:v>
                </c:pt>
                <c:pt idx="9">
                  <c:v>266244.34999999998</c:v>
                </c:pt>
                <c:pt idx="10">
                  <c:v>305146.34999999998</c:v>
                </c:pt>
                <c:pt idx="11">
                  <c:v>358201.35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12741.17</c:v>
                </c:pt>
                <c:pt idx="3">
                  <c:v>20102.080000000002</c:v>
                </c:pt>
                <c:pt idx="4">
                  <c:v>30094</c:v>
                </c:pt>
                <c:pt idx="5">
                  <c:v>54245.919999999998</c:v>
                </c:pt>
                <c:pt idx="6">
                  <c:v>95997.83</c:v>
                </c:pt>
                <c:pt idx="7">
                  <c:v>153363.75</c:v>
                </c:pt>
                <c:pt idx="8">
                  <c:v>161905.66</c:v>
                </c:pt>
                <c:pt idx="9">
                  <c:v>170202.58000000002</c:v>
                </c:pt>
                <c:pt idx="10">
                  <c:v>181214.49000000002</c:v>
                </c:pt>
                <c:pt idx="11">
                  <c:v>196456.41000000003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18274.48</c:v>
                </c:pt>
                <c:pt idx="3">
                  <c:v>18274.48</c:v>
                </c:pt>
                <c:pt idx="4">
                  <c:v>22989.809999999998</c:v>
                </c:pt>
                <c:pt idx="5">
                  <c:v>26485.289999999997</c:v>
                </c:pt>
                <c:pt idx="6">
                  <c:v>26485.289999999997</c:v>
                </c:pt>
                <c:pt idx="7">
                  <c:v>31200.619999999995</c:v>
                </c:pt>
                <c:pt idx="8">
                  <c:v>34696.1</c:v>
                </c:pt>
                <c:pt idx="9">
                  <c:v>49475.1</c:v>
                </c:pt>
                <c:pt idx="10">
                  <c:v>54190.43</c:v>
                </c:pt>
                <c:pt idx="11">
                  <c:v>54190.43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579-BB62-C0A43ED1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128382.90000000002</c:v>
                </c:pt>
                <c:pt idx="3">
                  <c:v>223339.28000000003</c:v>
                </c:pt>
                <c:pt idx="4">
                  <c:v>307603.20000000001</c:v>
                </c:pt>
                <c:pt idx="5">
                  <c:v>404043.07000000007</c:v>
                </c:pt>
                <c:pt idx="6">
                  <c:v>521878.45000000007</c:v>
                </c:pt>
                <c:pt idx="7">
                  <c:v>692097.17</c:v>
                </c:pt>
                <c:pt idx="8">
                  <c:v>816883.03</c:v>
                </c:pt>
                <c:pt idx="9">
                  <c:v>949316.92000000016</c:v>
                </c:pt>
                <c:pt idx="10">
                  <c:v>1066729.0300000003</c:v>
                </c:pt>
                <c:pt idx="11">
                  <c:v>1301265.7800000003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008749616957779"/>
          <c:h val="0.24484187001377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69472.94</c:v>
                </c:pt>
                <c:pt idx="3">
                  <c:v>69472.94</c:v>
                </c:pt>
                <c:pt idx="4">
                  <c:v>69472.94</c:v>
                </c:pt>
                <c:pt idx="5">
                  <c:v>69472.94</c:v>
                </c:pt>
                <c:pt idx="6">
                  <c:v>69472.94</c:v>
                </c:pt>
                <c:pt idx="7">
                  <c:v>69472.94</c:v>
                </c:pt>
                <c:pt idx="8">
                  <c:v>69472.94</c:v>
                </c:pt>
                <c:pt idx="9">
                  <c:v>69472.94</c:v>
                </c:pt>
                <c:pt idx="10">
                  <c:v>69472.94</c:v>
                </c:pt>
                <c:pt idx="11">
                  <c:v>69472.94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-205606.49</c:v>
                </c:pt>
                <c:pt idx="3">
                  <c:v>-205606.49</c:v>
                </c:pt>
                <c:pt idx="4">
                  <c:v>-205606.49</c:v>
                </c:pt>
                <c:pt idx="5">
                  <c:v>-205606.49</c:v>
                </c:pt>
                <c:pt idx="6">
                  <c:v>-205606.49</c:v>
                </c:pt>
                <c:pt idx="7">
                  <c:v>-205606.49</c:v>
                </c:pt>
                <c:pt idx="8">
                  <c:v>-205606.49</c:v>
                </c:pt>
                <c:pt idx="9">
                  <c:v>-205606.49</c:v>
                </c:pt>
                <c:pt idx="10">
                  <c:v>-205606.49</c:v>
                </c:pt>
                <c:pt idx="11">
                  <c:v>-205606.49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-136133.54999999999</c:v>
                </c:pt>
                <c:pt idx="3">
                  <c:v>-136133.54999999999</c:v>
                </c:pt>
                <c:pt idx="4">
                  <c:v>-136133.54999999999</c:v>
                </c:pt>
                <c:pt idx="5">
                  <c:v>-136133.54999999999</c:v>
                </c:pt>
                <c:pt idx="6">
                  <c:v>-136133.54999999999</c:v>
                </c:pt>
                <c:pt idx="7">
                  <c:v>-136133.54999999999</c:v>
                </c:pt>
                <c:pt idx="8">
                  <c:v>-136133.54999999999</c:v>
                </c:pt>
                <c:pt idx="9">
                  <c:v>-136133.54999999999</c:v>
                </c:pt>
                <c:pt idx="10">
                  <c:v>-136133.54999999999</c:v>
                </c:pt>
                <c:pt idx="11">
                  <c:v>-136133.54999999999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2990351007"/>
              <c:y val="0.1112405450337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-185515.62</c:v>
                </c:pt>
                <c:pt idx="3">
                  <c:v>-760515.62</c:v>
                </c:pt>
                <c:pt idx="4">
                  <c:v>-887890.62</c:v>
                </c:pt>
                <c:pt idx="5">
                  <c:v>-909890.62</c:v>
                </c:pt>
                <c:pt idx="6">
                  <c:v>-917490.62</c:v>
                </c:pt>
                <c:pt idx="7">
                  <c:v>-927490.62</c:v>
                </c:pt>
                <c:pt idx="8">
                  <c:v>-958090.62</c:v>
                </c:pt>
                <c:pt idx="9">
                  <c:v>-1458090.62</c:v>
                </c:pt>
                <c:pt idx="10">
                  <c:v>-1573465.62</c:v>
                </c:pt>
                <c:pt idx="11">
                  <c:v>-1580511.62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-350.79999999999927</c:v>
                </c:pt>
                <c:pt idx="3">
                  <c:v>-32597.8</c:v>
                </c:pt>
                <c:pt idx="4">
                  <c:v>-92038.8</c:v>
                </c:pt>
                <c:pt idx="5">
                  <c:v>-116324.8</c:v>
                </c:pt>
                <c:pt idx="6">
                  <c:v>-127938.8</c:v>
                </c:pt>
                <c:pt idx="7">
                  <c:v>-135305.79999999999</c:v>
                </c:pt>
                <c:pt idx="8">
                  <c:v>-142872.79999999999</c:v>
                </c:pt>
                <c:pt idx="9">
                  <c:v>-154814.79999999999</c:v>
                </c:pt>
                <c:pt idx="10">
                  <c:v>-165311.79999999999</c:v>
                </c:pt>
                <c:pt idx="11">
                  <c:v>-173074.8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-60</c:v>
                </c:pt>
                <c:pt idx="3">
                  <c:v>-460</c:v>
                </c:pt>
                <c:pt idx="4">
                  <c:v>-1310</c:v>
                </c:pt>
                <c:pt idx="5">
                  <c:v>-1410</c:v>
                </c:pt>
                <c:pt idx="6">
                  <c:v>-2410</c:v>
                </c:pt>
                <c:pt idx="7">
                  <c:v>-2610</c:v>
                </c:pt>
                <c:pt idx="8">
                  <c:v>-2710</c:v>
                </c:pt>
                <c:pt idx="9">
                  <c:v>-2810</c:v>
                </c:pt>
                <c:pt idx="10">
                  <c:v>-2910</c:v>
                </c:pt>
                <c:pt idx="11">
                  <c:v>-2910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-110</c:v>
                </c:pt>
                <c:pt idx="4">
                  <c:v>-140</c:v>
                </c:pt>
                <c:pt idx="5">
                  <c:v>-170</c:v>
                </c:pt>
                <c:pt idx="6">
                  <c:v>-200</c:v>
                </c:pt>
                <c:pt idx="7">
                  <c:v>-230</c:v>
                </c:pt>
                <c:pt idx="8">
                  <c:v>-260</c:v>
                </c:pt>
                <c:pt idx="9">
                  <c:v>-290</c:v>
                </c:pt>
                <c:pt idx="10">
                  <c:v>-320</c:v>
                </c:pt>
                <c:pt idx="11">
                  <c:v>-350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545.3599999999999</c:v>
                </c:pt>
                <c:pt idx="3">
                  <c:v>195.3599999999999</c:v>
                </c:pt>
                <c:pt idx="4">
                  <c:v>-154.6400000000001</c:v>
                </c:pt>
                <c:pt idx="5">
                  <c:v>-504.6400000000001</c:v>
                </c:pt>
                <c:pt idx="6">
                  <c:v>-879.6400000000001</c:v>
                </c:pt>
                <c:pt idx="7">
                  <c:v>-1254.6400000000001</c:v>
                </c:pt>
                <c:pt idx="8">
                  <c:v>-1629.64</c:v>
                </c:pt>
                <c:pt idx="9">
                  <c:v>-2004.64</c:v>
                </c:pt>
                <c:pt idx="10">
                  <c:v>-2354.6400000000003</c:v>
                </c:pt>
                <c:pt idx="11">
                  <c:v>-2704.6400000000003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D-441A-A84E-B96F04C9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-185461.06</c:v>
                </c:pt>
                <c:pt idx="3">
                  <c:v>-793488.06</c:v>
                </c:pt>
                <c:pt idx="4">
                  <c:v>-981534.06</c:v>
                </c:pt>
                <c:pt idx="5">
                  <c:v>-1028300.06</c:v>
                </c:pt>
                <c:pt idx="6">
                  <c:v>-1048919.06</c:v>
                </c:pt>
                <c:pt idx="7">
                  <c:v>-1066891.06</c:v>
                </c:pt>
                <c:pt idx="8">
                  <c:v>-1105563.06</c:v>
                </c:pt>
                <c:pt idx="9">
                  <c:v>-1618010.06</c:v>
                </c:pt>
                <c:pt idx="10">
                  <c:v>-1744362.06</c:v>
                </c:pt>
                <c:pt idx="11">
                  <c:v>-1806771.06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68677738075333"/>
          <c:y val="0.61389935067127355"/>
          <c:w val="0.19958384487053973"/>
          <c:h val="0.21949188518789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58871.899999999994</c:v>
                </c:pt>
                <c:pt idx="3">
                  <c:v>113208.37</c:v>
                </c:pt>
                <c:pt idx="4">
                  <c:v>152659.03999999998</c:v>
                </c:pt>
                <c:pt idx="5">
                  <c:v>192246.50999999998</c:v>
                </c:pt>
                <c:pt idx="6">
                  <c:v>239023.97999999998</c:v>
                </c:pt>
                <c:pt idx="7">
                  <c:v>313406.44999999995</c:v>
                </c:pt>
                <c:pt idx="8">
                  <c:v>366998.91999999993</c:v>
                </c:pt>
                <c:pt idx="9">
                  <c:v>412394.8899999999</c:v>
                </c:pt>
                <c:pt idx="10">
                  <c:v>451427.75999999989</c:v>
                </c:pt>
                <c:pt idx="11">
                  <c:v>546697.58999999985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34995.35</c:v>
                </c:pt>
                <c:pt idx="3">
                  <c:v>68254.350000000006</c:v>
                </c:pt>
                <c:pt idx="4">
                  <c:v>98360.35</c:v>
                </c:pt>
                <c:pt idx="5">
                  <c:v>127565.35</c:v>
                </c:pt>
                <c:pt idx="6">
                  <c:v>156871.35</c:v>
                </c:pt>
                <c:pt idx="7">
                  <c:v>190626.35</c:v>
                </c:pt>
                <c:pt idx="8">
                  <c:v>226032.35</c:v>
                </c:pt>
                <c:pt idx="9">
                  <c:v>266244.34999999998</c:v>
                </c:pt>
                <c:pt idx="10">
                  <c:v>305146.34999999998</c:v>
                </c:pt>
                <c:pt idx="11">
                  <c:v>358201.35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12741.17</c:v>
                </c:pt>
                <c:pt idx="3">
                  <c:v>20102.080000000002</c:v>
                </c:pt>
                <c:pt idx="4">
                  <c:v>30094</c:v>
                </c:pt>
                <c:pt idx="5">
                  <c:v>54245.919999999998</c:v>
                </c:pt>
                <c:pt idx="6">
                  <c:v>95997.83</c:v>
                </c:pt>
                <c:pt idx="7">
                  <c:v>153363.75</c:v>
                </c:pt>
                <c:pt idx="8">
                  <c:v>161905.66</c:v>
                </c:pt>
                <c:pt idx="9">
                  <c:v>170202.58000000002</c:v>
                </c:pt>
                <c:pt idx="10">
                  <c:v>181214.49000000002</c:v>
                </c:pt>
                <c:pt idx="11">
                  <c:v>196456.41000000003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18274.48</c:v>
                </c:pt>
                <c:pt idx="3">
                  <c:v>18274.48</c:v>
                </c:pt>
                <c:pt idx="4">
                  <c:v>22989.809999999998</c:v>
                </c:pt>
                <c:pt idx="5">
                  <c:v>26485.289999999997</c:v>
                </c:pt>
                <c:pt idx="6">
                  <c:v>26485.289999999997</c:v>
                </c:pt>
                <c:pt idx="7">
                  <c:v>31200.619999999995</c:v>
                </c:pt>
                <c:pt idx="8">
                  <c:v>34696.1</c:v>
                </c:pt>
                <c:pt idx="9">
                  <c:v>49475.1</c:v>
                </c:pt>
                <c:pt idx="10">
                  <c:v>54190.43</c:v>
                </c:pt>
                <c:pt idx="11">
                  <c:v>54190.43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6-4A4F-B2A1-AEE861A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128382.90000000002</c:v>
                </c:pt>
                <c:pt idx="3">
                  <c:v>223339.28000000003</c:v>
                </c:pt>
                <c:pt idx="4">
                  <c:v>307603.20000000001</c:v>
                </c:pt>
                <c:pt idx="5">
                  <c:v>404043.07000000007</c:v>
                </c:pt>
                <c:pt idx="6">
                  <c:v>521878.45000000007</c:v>
                </c:pt>
                <c:pt idx="7">
                  <c:v>692097.17</c:v>
                </c:pt>
                <c:pt idx="8">
                  <c:v>816883.03</c:v>
                </c:pt>
                <c:pt idx="9">
                  <c:v>949316.92000000016</c:v>
                </c:pt>
                <c:pt idx="10">
                  <c:v>1066729.0300000003</c:v>
                </c:pt>
                <c:pt idx="11">
                  <c:v>1301265.7800000003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0861831581425863"/>
          <c:h val="0.2407368954489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8765538954171449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625756</xdr:colOff>
      <xdr:row>28</xdr:row>
      <xdr:rowOff>142875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518160</xdr:colOff>
      <xdr:row>9</xdr:row>
      <xdr:rowOff>99060</xdr:rowOff>
    </xdr:from>
    <xdr:to>
      <xdr:col>9</xdr:col>
      <xdr:colOff>518160</xdr:colOff>
      <xdr:row>9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A23702-1DBD-42EF-BCF9-84607C9CFA7A}"/>
            </a:ext>
          </a:extLst>
        </xdr:cNvPr>
        <xdr:cNvCxnSpPr/>
      </xdr:nvCxnSpPr>
      <xdr:spPr>
        <a:xfrm>
          <a:off x="7101840" y="1607820"/>
          <a:ext cx="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667561</xdr:colOff>
      <xdr:row>28</xdr:row>
      <xdr:rowOff>57149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670009</xdr:colOff>
      <xdr:row>30</xdr:row>
      <xdr:rowOff>66675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640793</xdr:colOff>
      <xdr:row>30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8" dT="2022-03-12T00:03:11.51" personId="{7193815A-E20A-4C1D-9876-02B5D95DF8B8}" id="{ACFAFE01-CC87-478E-93B1-94014C695A26}">
    <text>Set to 2023 beginning reserve required from 5 year projection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abSelected="1" zoomScale="70" zoomScaleNormal="70" workbookViewId="0">
      <selection activeCell="AH19" sqref="AH19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105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F36" sqref="F36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F34" sqref="F34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topLeftCell="A15" workbookViewId="0">
      <pane xSplit="1" ySplit="1" topLeftCell="B49" activePane="bottomRight" state="frozen"/>
      <selection activeCell="A15" sqref="A15"/>
      <selection pane="topRight" activeCell="B15" sqref="B15"/>
      <selection pane="bottomLeft" activeCell="A16" sqref="A16"/>
      <selection pane="bottomRight" activeCell="D85" sqref="D85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5" width="12.625" bestFit="1" customWidth="1"/>
    <col min="6" max="6" width="12.625" customWidth="1"/>
    <col min="7" max="7" width="12.625" bestFit="1" customWidth="1"/>
    <col min="8" max="13" width="13.375" bestFit="1" customWidth="1"/>
    <col min="14" max="14" width="13" customWidth="1"/>
    <col min="15" max="15" width="11.75" bestFit="1" customWidth="1"/>
    <col min="16" max="16" width="12.625" bestFit="1" customWidth="1"/>
    <col min="17" max="17" width="11.25" bestFit="1" customWidth="1"/>
    <col min="18" max="18" width="12.625" bestFit="1" customWidth="1"/>
  </cols>
  <sheetData>
    <row r="1" spans="1:15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5" ht="13.5" hidden="1" thickBot="1" x14ac:dyDescent="0.25">
      <c r="A2" s="2" t="s">
        <v>9</v>
      </c>
      <c r="B2" s="3">
        <f t="shared" ref="B2:M2" si="0">SUM(B33:B48)</f>
        <v>110727.81999999999</v>
      </c>
      <c r="C2" s="3">
        <f t="shared" si="0"/>
        <v>29951.97</v>
      </c>
      <c r="D2" s="3">
        <f t="shared" si="0"/>
        <v>-4114.0599999999949</v>
      </c>
      <c r="E2" s="3">
        <f t="shared" si="0"/>
        <v>-185461.06</v>
      </c>
      <c r="F2" s="3">
        <f t="shared" si="0"/>
        <v>-793488.06</v>
      </c>
      <c r="G2" s="3">
        <f t="shared" si="0"/>
        <v>-981534.06</v>
      </c>
      <c r="H2" s="3">
        <f t="shared" si="0"/>
        <v>-1028300.06</v>
      </c>
      <c r="I2" s="3">
        <f t="shared" si="0"/>
        <v>-1048919.0599999998</v>
      </c>
      <c r="J2" s="5">
        <f t="shared" si="0"/>
        <v>-1066891.0599999998</v>
      </c>
      <c r="K2" s="3">
        <f t="shared" si="0"/>
        <v>-1105563.06</v>
      </c>
      <c r="L2" s="3">
        <f t="shared" si="0"/>
        <v>-1618010.06</v>
      </c>
      <c r="M2" s="4">
        <f t="shared" si="0"/>
        <v>-1744362.06</v>
      </c>
      <c r="N2" s="1">
        <f>SUM(B2:M2)</f>
        <v>-9435962.8100000005</v>
      </c>
    </row>
    <row r="3" spans="1:15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5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5" ht="13.5" hidden="1" thickBot="1" x14ac:dyDescent="0.25">
      <c r="A5" s="2" t="s">
        <v>1</v>
      </c>
      <c r="B5" s="3">
        <f>B2</f>
        <v>110727.81999999999</v>
      </c>
      <c r="C5" s="3">
        <f t="shared" ref="C5:M5" si="2">B5+C2</f>
        <v>140679.78999999998</v>
      </c>
      <c r="D5" s="3">
        <f t="shared" si="2"/>
        <v>136565.72999999998</v>
      </c>
      <c r="E5" s="3">
        <f t="shared" si="2"/>
        <v>-48895.330000000016</v>
      </c>
      <c r="F5" s="3">
        <f t="shared" si="2"/>
        <v>-842383.39000000013</v>
      </c>
      <c r="G5" s="3">
        <f t="shared" si="2"/>
        <v>-1823917.4500000002</v>
      </c>
      <c r="H5" s="3">
        <f t="shared" si="2"/>
        <v>-2852217.5100000002</v>
      </c>
      <c r="I5" s="3">
        <f t="shared" si="2"/>
        <v>-3901136.5700000003</v>
      </c>
      <c r="J5" s="3">
        <f t="shared" si="2"/>
        <v>-4968027.63</v>
      </c>
      <c r="K5" s="3">
        <f t="shared" si="2"/>
        <v>-6073590.6899999995</v>
      </c>
      <c r="L5" s="3">
        <f t="shared" si="2"/>
        <v>-7691600.75</v>
      </c>
      <c r="M5" s="3">
        <f t="shared" si="2"/>
        <v>-9435962.8100000005</v>
      </c>
    </row>
    <row r="6" spans="1:15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5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7794468.8699999992</v>
      </c>
    </row>
    <row r="8" spans="1:15" ht="13.5" hidden="1" thickBot="1" x14ac:dyDescent="0.25">
      <c r="A8" s="2" t="s">
        <v>25</v>
      </c>
      <c r="B8" s="3">
        <f t="shared" ref="B8:M8" si="5">SUM(B53:B71)</f>
        <v>292124.05999999994</v>
      </c>
      <c r="C8" s="3">
        <f t="shared" si="5"/>
        <v>207155.69</v>
      </c>
      <c r="D8" s="3">
        <f t="shared" si="5"/>
        <v>193053.81000000003</v>
      </c>
      <c r="E8" s="3">
        <f t="shared" si="5"/>
        <v>300021.18</v>
      </c>
      <c r="F8" s="3">
        <f t="shared" si="5"/>
        <v>364161.97999999992</v>
      </c>
      <c r="G8" s="3">
        <f t="shared" si="5"/>
        <v>470502.16999999993</v>
      </c>
      <c r="H8" s="3">
        <f t="shared" si="5"/>
        <v>613228.53999999992</v>
      </c>
      <c r="I8" s="3">
        <f t="shared" si="5"/>
        <v>826399.94</v>
      </c>
      <c r="J8" s="6">
        <f t="shared" si="5"/>
        <v>903477.30999999994</v>
      </c>
      <c r="K8" s="3">
        <f t="shared" si="5"/>
        <v>1017496.71</v>
      </c>
      <c r="L8" s="5">
        <f t="shared" si="5"/>
        <v>1125235.3799999999</v>
      </c>
      <c r="M8" s="4">
        <f t="shared" si="5"/>
        <v>1481612.0999999996</v>
      </c>
      <c r="N8" s="1"/>
    </row>
    <row r="9" spans="1:15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5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5" ht="13.5" hidden="1" thickBot="1" x14ac:dyDescent="0.25">
      <c r="A11" s="2" t="s">
        <v>1</v>
      </c>
      <c r="B11" s="3">
        <f>B8</f>
        <v>292124.05999999994</v>
      </c>
      <c r="C11" s="3">
        <f t="shared" ref="C11:M11" si="7">B11+C8</f>
        <v>499279.74999999994</v>
      </c>
      <c r="D11" s="3">
        <f t="shared" si="7"/>
        <v>692333.55999999994</v>
      </c>
      <c r="E11" s="3">
        <f t="shared" si="7"/>
        <v>992354.74</v>
      </c>
      <c r="F11" s="3">
        <f t="shared" si="7"/>
        <v>1356516.72</v>
      </c>
      <c r="G11" s="3">
        <f t="shared" si="7"/>
        <v>1827018.89</v>
      </c>
      <c r="H11" s="3">
        <f t="shared" si="7"/>
        <v>2440247.4299999997</v>
      </c>
      <c r="I11" s="3">
        <f t="shared" si="7"/>
        <v>3266647.3699999996</v>
      </c>
      <c r="J11" s="3">
        <f t="shared" si="7"/>
        <v>4170124.6799999997</v>
      </c>
      <c r="K11" s="3">
        <f t="shared" si="7"/>
        <v>5187621.3899999997</v>
      </c>
      <c r="L11" s="3">
        <f t="shared" si="7"/>
        <v>6312856.7699999996</v>
      </c>
      <c r="M11" s="3">
        <f t="shared" si="7"/>
        <v>7794468.8699999992</v>
      </c>
    </row>
    <row r="12" spans="1:15" ht="13.5" hidden="1" thickBot="1" x14ac:dyDescent="0.25">
      <c r="A12" s="2" t="s">
        <v>10</v>
      </c>
      <c r="B12" s="3">
        <f>B10-B11</f>
        <v>-238153.05999999994</v>
      </c>
      <c r="C12" s="3">
        <f t="shared" ref="C12:M12" si="8">C10-C11</f>
        <v>-400683.74999999994</v>
      </c>
      <c r="D12" s="3">
        <f t="shared" si="8"/>
        <v>-553035.55999999994</v>
      </c>
      <c r="E12" s="3">
        <f t="shared" si="8"/>
        <v>-812448.74</v>
      </c>
      <c r="F12" s="3">
        <f t="shared" si="8"/>
        <v>-1124930.72</v>
      </c>
      <c r="G12" s="3">
        <f t="shared" si="8"/>
        <v>-1554916.89</v>
      </c>
      <c r="H12" s="3">
        <f t="shared" si="8"/>
        <v>-2113674.4299999997</v>
      </c>
      <c r="I12" s="3">
        <f t="shared" si="8"/>
        <v>-2868216.3699999996</v>
      </c>
      <c r="J12" s="3">
        <f t="shared" si="8"/>
        <v>-3714963.6799999997</v>
      </c>
      <c r="K12" s="3">
        <f t="shared" si="8"/>
        <v>-4670914.3899999997</v>
      </c>
      <c r="L12" s="3">
        <f t="shared" si="8"/>
        <v>-5743073.7699999996</v>
      </c>
      <c r="M12" s="3">
        <f t="shared" si="8"/>
        <v>-7170983.8699999992</v>
      </c>
    </row>
    <row r="13" spans="1:15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5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3" t="s">
        <v>86</v>
      </c>
    </row>
    <row r="16" spans="1:15" x14ac:dyDescent="0.2">
      <c r="A16" s="40" t="s">
        <v>68</v>
      </c>
      <c r="B16" s="29">
        <f t="shared" ref="B16:L16" si="10">+SUM(B33,B36,B39,B42,B45,B48)</f>
        <v>55363.91</v>
      </c>
      <c r="C16" s="29">
        <f t="shared" si="10"/>
        <v>14109.03</v>
      </c>
      <c r="D16" s="29">
        <f t="shared" si="10"/>
        <v>0</v>
      </c>
      <c r="E16" s="29">
        <f t="shared" si="10"/>
        <v>0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>+SUM(J33,J36,J39,J42,J45,J48)</f>
        <v>0</v>
      </c>
      <c r="K16" s="29">
        <f t="shared" si="10"/>
        <v>0</v>
      </c>
      <c r="L16" s="29">
        <f t="shared" si="10"/>
        <v>0</v>
      </c>
      <c r="M16" s="29">
        <f>+SUM(M33,M36,M39,M42,M45,M48)</f>
        <v>0</v>
      </c>
      <c r="N16" s="1"/>
      <c r="O16" s="46" t="s">
        <v>84</v>
      </c>
    </row>
    <row r="17" spans="1:15" x14ac:dyDescent="0.2">
      <c r="A17" s="33" t="s">
        <v>62</v>
      </c>
      <c r="B17" s="16">
        <f>B16</f>
        <v>55363.91</v>
      </c>
      <c r="C17" s="16">
        <f>B17+C16</f>
        <v>69472.94</v>
      </c>
      <c r="D17" s="16">
        <f t="shared" ref="C17:L17" si="11">C17+D16</f>
        <v>69472.94</v>
      </c>
      <c r="E17" s="16">
        <f t="shared" si="11"/>
        <v>69472.94</v>
      </c>
      <c r="F17" s="16">
        <f t="shared" si="11"/>
        <v>69472.94</v>
      </c>
      <c r="G17" s="16">
        <f t="shared" si="11"/>
        <v>69472.94</v>
      </c>
      <c r="H17" s="16">
        <f t="shared" si="11"/>
        <v>69472.94</v>
      </c>
      <c r="I17" s="16">
        <f t="shared" si="11"/>
        <v>69472.94</v>
      </c>
      <c r="J17" s="16">
        <f t="shared" si="11"/>
        <v>69472.94</v>
      </c>
      <c r="K17" s="16">
        <f t="shared" si="11"/>
        <v>69472.94</v>
      </c>
      <c r="L17" s="16">
        <f t="shared" si="11"/>
        <v>69472.94</v>
      </c>
      <c r="M17" s="16">
        <f>L17+M16</f>
        <v>69472.94</v>
      </c>
    </row>
    <row r="18" spans="1:15" x14ac:dyDescent="0.2">
      <c r="A18" s="33" t="s">
        <v>69</v>
      </c>
      <c r="B18" s="16">
        <f>SUM(B34,B37,B40,B43,B46,B49)</f>
        <v>53630</v>
      </c>
      <c r="C18" s="16">
        <f t="shared" ref="C18:M18" si="12">SUM(C34,C37,C40,C43,C46,C49)</f>
        <v>19957</v>
      </c>
      <c r="D18" s="16">
        <f t="shared" si="12"/>
        <v>181347</v>
      </c>
      <c r="E18" s="16">
        <f t="shared" si="12"/>
        <v>608027</v>
      </c>
      <c r="F18" s="16">
        <f t="shared" si="12"/>
        <v>188046</v>
      </c>
      <c r="G18" s="16">
        <f t="shared" si="12"/>
        <v>46766</v>
      </c>
      <c r="H18" s="16">
        <f t="shared" si="12"/>
        <v>20619</v>
      </c>
      <c r="I18" s="16">
        <f t="shared" si="12"/>
        <v>17972</v>
      </c>
      <c r="J18" s="16">
        <f>SUM(J34,J37,J40,J43,J46,J49)</f>
        <v>38672</v>
      </c>
      <c r="K18" s="16">
        <f t="shared" si="12"/>
        <v>512447</v>
      </c>
      <c r="L18" s="16">
        <f t="shared" si="12"/>
        <v>126352</v>
      </c>
      <c r="M18" s="16">
        <f t="shared" si="12"/>
        <v>62409</v>
      </c>
      <c r="N18" s="57">
        <f>SUM(B18:M18)</f>
        <v>1876244</v>
      </c>
    </row>
    <row r="19" spans="1:15" x14ac:dyDescent="0.2">
      <c r="A19" s="33" t="s">
        <v>61</v>
      </c>
      <c r="B19" s="16">
        <f>B18</f>
        <v>53630</v>
      </c>
      <c r="C19" s="16">
        <f>B19+C18</f>
        <v>73587</v>
      </c>
      <c r="D19" s="16">
        <f t="shared" ref="D19:M19" si="13">C19+D18</f>
        <v>254934</v>
      </c>
      <c r="E19" s="16">
        <f>D19+E18</f>
        <v>862961</v>
      </c>
      <c r="F19" s="16">
        <f t="shared" si="13"/>
        <v>1051007</v>
      </c>
      <c r="G19" s="16">
        <f t="shared" si="13"/>
        <v>1097773</v>
      </c>
      <c r="H19" s="16">
        <f t="shared" si="13"/>
        <v>1118392</v>
      </c>
      <c r="I19" s="16">
        <f t="shared" si="13"/>
        <v>1136364</v>
      </c>
      <c r="J19" s="16">
        <f t="shared" si="13"/>
        <v>1175036</v>
      </c>
      <c r="K19" s="16">
        <f t="shared" si="13"/>
        <v>1687483</v>
      </c>
      <c r="L19" s="16">
        <f t="shared" si="13"/>
        <v>1813835</v>
      </c>
      <c r="M19" s="16">
        <f t="shared" si="13"/>
        <v>1876244</v>
      </c>
      <c r="N19" s="1"/>
    </row>
    <row r="20" spans="1:15" x14ac:dyDescent="0.2">
      <c r="A20" s="33" t="s">
        <v>63</v>
      </c>
      <c r="B20" s="16">
        <f t="shared" ref="B20:M20" si="14">B17-B19</f>
        <v>1733.9100000000035</v>
      </c>
      <c r="C20" s="16">
        <f t="shared" si="14"/>
        <v>-4114.0599999999977</v>
      </c>
      <c r="D20" s="16">
        <f t="shared" si="14"/>
        <v>-185461.06</v>
      </c>
      <c r="E20" s="16">
        <f t="shared" si="14"/>
        <v>-793488.06</v>
      </c>
      <c r="F20" s="16">
        <f t="shared" si="14"/>
        <v>-981534.06</v>
      </c>
      <c r="G20" s="16">
        <f t="shared" si="14"/>
        <v>-1028300.06</v>
      </c>
      <c r="H20" s="16">
        <f t="shared" si="14"/>
        <v>-1048919.06</v>
      </c>
      <c r="I20" s="16">
        <f t="shared" si="14"/>
        <v>-1066891.06</v>
      </c>
      <c r="J20" s="16">
        <f>J17-J19</f>
        <v>-1105563.06</v>
      </c>
      <c r="K20" s="16">
        <f t="shared" si="14"/>
        <v>-1618010.06</v>
      </c>
      <c r="L20" s="16">
        <f t="shared" si="14"/>
        <v>-1744362.06</v>
      </c>
      <c r="M20" s="16">
        <f t="shared" si="14"/>
        <v>-1806771.06</v>
      </c>
    </row>
    <row r="21" spans="1:15" x14ac:dyDescent="0.2">
      <c r="A21" s="17" t="s">
        <v>27</v>
      </c>
      <c r="B21" s="16">
        <v>0</v>
      </c>
      <c r="C21" s="16">
        <f t="shared" ref="C21:M21" si="15">B21+($M$19/12)</f>
        <v>156353.66666666666</v>
      </c>
      <c r="D21" s="16">
        <f t="shared" si="15"/>
        <v>312707.33333333331</v>
      </c>
      <c r="E21" s="16">
        <f t="shared" si="15"/>
        <v>469061</v>
      </c>
      <c r="F21" s="16">
        <f t="shared" si="15"/>
        <v>625414.66666666663</v>
      </c>
      <c r="G21" s="16">
        <f t="shared" si="15"/>
        <v>781768.33333333326</v>
      </c>
      <c r="H21" s="16">
        <f t="shared" si="15"/>
        <v>938121.99999999988</v>
      </c>
      <c r="I21" s="16">
        <f t="shared" si="15"/>
        <v>1094475.6666666665</v>
      </c>
      <c r="J21" s="16">
        <f t="shared" si="15"/>
        <v>1250829.3333333333</v>
      </c>
      <c r="K21" s="16">
        <f t="shared" si="15"/>
        <v>1407183</v>
      </c>
      <c r="L21" s="16">
        <f t="shared" si="15"/>
        <v>1563536.6666666667</v>
      </c>
      <c r="M21" s="16">
        <f t="shared" si="15"/>
        <v>1719890.3333333335</v>
      </c>
      <c r="N21" s="1"/>
    </row>
    <row r="22" spans="1:15" x14ac:dyDescent="0.2">
      <c r="A22" s="40" t="s">
        <v>70</v>
      </c>
      <c r="B22" s="29">
        <f>-SUM(B53,B56,B59,B62,B65,B68,B71)</f>
        <v>-104458.22</v>
      </c>
      <c r="C22" s="29">
        <f t="shared" ref="C22:G22" si="16">-SUM(C53,C56,C59,C62,C65,C68,C71)</f>
        <v>-101148.27</v>
      </c>
      <c r="D22" s="29">
        <f t="shared" si="16"/>
        <v>0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ref="H22:M22" si="17">-SUM(H53,H56,H59,H62,H65,H68,H71)</f>
        <v>0</v>
      </c>
      <c r="I22" s="29">
        <f t="shared" si="17"/>
        <v>0</v>
      </c>
      <c r="J22" s="29">
        <f t="shared" si="17"/>
        <v>0</v>
      </c>
      <c r="K22" s="29">
        <f t="shared" si="17"/>
        <v>0</v>
      </c>
      <c r="L22" s="29">
        <f t="shared" si="17"/>
        <v>0</v>
      </c>
      <c r="M22" s="29">
        <f t="shared" si="17"/>
        <v>0</v>
      </c>
      <c r="N22" s="1"/>
      <c r="O22" s="46" t="s">
        <v>87</v>
      </c>
    </row>
    <row r="23" spans="1:15" x14ac:dyDescent="0.2">
      <c r="A23" s="33" t="s">
        <v>65</v>
      </c>
      <c r="B23" s="16">
        <f>B22</f>
        <v>-104458.22</v>
      </c>
      <c r="C23" s="16">
        <f>B23+C22</f>
        <v>-205606.49</v>
      </c>
      <c r="D23" s="16">
        <f t="shared" ref="D23:M23" si="18">C23+D22</f>
        <v>-205606.49</v>
      </c>
      <c r="E23" s="16">
        <f t="shared" si="18"/>
        <v>-205606.49</v>
      </c>
      <c r="F23" s="16">
        <f t="shared" si="18"/>
        <v>-205606.49</v>
      </c>
      <c r="G23" s="16">
        <f t="shared" si="18"/>
        <v>-205606.49</v>
      </c>
      <c r="H23" s="16">
        <f t="shared" si="18"/>
        <v>-205606.49</v>
      </c>
      <c r="I23" s="16">
        <f t="shared" si="18"/>
        <v>-205606.49</v>
      </c>
      <c r="J23" s="16">
        <f t="shared" si="18"/>
        <v>-205606.49</v>
      </c>
      <c r="K23" s="16">
        <f t="shared" si="18"/>
        <v>-205606.49</v>
      </c>
      <c r="L23" s="16">
        <f t="shared" si="18"/>
        <v>-205606.49</v>
      </c>
      <c r="M23" s="16">
        <f t="shared" si="18"/>
        <v>-205606.49</v>
      </c>
      <c r="N23" s="1"/>
    </row>
    <row r="24" spans="1:15" x14ac:dyDescent="0.2">
      <c r="A24" s="33" t="s">
        <v>71</v>
      </c>
      <c r="B24" s="16">
        <f>-SUM(B54,B57,B60,B63,B66,B69,B72)</f>
        <v>-147809.76999999999</v>
      </c>
      <c r="C24" s="16">
        <f t="shared" ref="C24:M24" si="19">-SUM(C54,C57,C60,C63,C66,C69,C72)</f>
        <v>-84959.75</v>
      </c>
      <c r="D24" s="16">
        <f t="shared" si="19"/>
        <v>-101219.87</v>
      </c>
      <c r="E24" s="16">
        <f t="shared" si="19"/>
        <v>-94956.38</v>
      </c>
      <c r="F24" s="16">
        <f t="shared" si="19"/>
        <v>-84263.92</v>
      </c>
      <c r="G24" s="16">
        <f t="shared" si="19"/>
        <v>-96439.87</v>
      </c>
      <c r="H24" s="16">
        <f t="shared" si="19"/>
        <v>-117835.38</v>
      </c>
      <c r="I24" s="16">
        <f t="shared" si="19"/>
        <v>-170218.72</v>
      </c>
      <c r="J24" s="16">
        <f t="shared" si="19"/>
        <v>-124785.86</v>
      </c>
      <c r="K24" s="16">
        <f t="shared" si="19"/>
        <v>-132433.89000000001</v>
      </c>
      <c r="L24" s="16">
        <f t="shared" si="19"/>
        <v>-117412.11</v>
      </c>
      <c r="M24" s="16">
        <f t="shared" si="19"/>
        <v>-234536.75000000003</v>
      </c>
      <c r="N24" s="57">
        <f>SUM(B24:M24)</f>
        <v>-1506872.2700000003</v>
      </c>
    </row>
    <row r="25" spans="1:15" x14ac:dyDescent="0.2">
      <c r="A25" s="33" t="s">
        <v>64</v>
      </c>
      <c r="B25" s="16">
        <f>B24</f>
        <v>-147809.76999999999</v>
      </c>
      <c r="C25" s="16">
        <f t="shared" ref="C25:M25" si="20">B25+C24</f>
        <v>-232769.52</v>
      </c>
      <c r="D25" s="16">
        <f t="shared" si="20"/>
        <v>-333989.39</v>
      </c>
      <c r="E25" s="16">
        <f t="shared" si="20"/>
        <v>-428945.77</v>
      </c>
      <c r="F25" s="16">
        <f t="shared" si="20"/>
        <v>-513209.69</v>
      </c>
      <c r="G25" s="16">
        <f t="shared" si="20"/>
        <v>-609649.56000000006</v>
      </c>
      <c r="H25" s="16">
        <f t="shared" si="20"/>
        <v>-727484.94000000006</v>
      </c>
      <c r="I25" s="16">
        <f t="shared" si="20"/>
        <v>-897703.66</v>
      </c>
      <c r="J25" s="16">
        <f t="shared" si="20"/>
        <v>-1022489.52</v>
      </c>
      <c r="K25" s="16">
        <f t="shared" si="20"/>
        <v>-1154923.4100000001</v>
      </c>
      <c r="L25" s="16">
        <f t="shared" si="20"/>
        <v>-1272335.5200000003</v>
      </c>
      <c r="M25" s="16">
        <f t="shared" si="20"/>
        <v>-1506872.2700000003</v>
      </c>
      <c r="N25" s="1"/>
    </row>
    <row r="26" spans="1:15" x14ac:dyDescent="0.2">
      <c r="A26" s="33" t="s">
        <v>66</v>
      </c>
      <c r="B26" s="16">
        <f t="shared" ref="B26:M26" si="21">B23-B25</f>
        <v>43351.549999999988</v>
      </c>
      <c r="C26" s="16">
        <f t="shared" si="21"/>
        <v>27163.03</v>
      </c>
      <c r="D26" s="16">
        <f t="shared" si="21"/>
        <v>128382.90000000002</v>
      </c>
      <c r="E26" s="16">
        <f t="shared" si="21"/>
        <v>223339.28000000003</v>
      </c>
      <c r="F26" s="16">
        <f t="shared" si="21"/>
        <v>307603.20000000001</v>
      </c>
      <c r="G26" s="16">
        <f t="shared" si="21"/>
        <v>404043.07000000007</v>
      </c>
      <c r="H26" s="16">
        <f t="shared" si="21"/>
        <v>521878.45000000007</v>
      </c>
      <c r="I26" s="16">
        <f t="shared" si="21"/>
        <v>692097.17</v>
      </c>
      <c r="J26" s="16">
        <f t="shared" si="21"/>
        <v>816883.03</v>
      </c>
      <c r="K26" s="16">
        <f t="shared" si="21"/>
        <v>949316.92000000016</v>
      </c>
      <c r="L26" s="16">
        <f t="shared" si="21"/>
        <v>1066729.0300000003</v>
      </c>
      <c r="M26" s="16">
        <f t="shared" si="21"/>
        <v>1301265.7800000003</v>
      </c>
      <c r="N26" s="1"/>
    </row>
    <row r="27" spans="1:15" x14ac:dyDescent="0.2">
      <c r="A27" s="17" t="s">
        <v>26</v>
      </c>
      <c r="B27" s="16">
        <v>0</v>
      </c>
      <c r="C27" s="16">
        <f>B27+($M$25/12)</f>
        <v>-125572.68916666669</v>
      </c>
      <c r="D27" s="16">
        <f t="shared" ref="D27:M27" si="22">C27+($M$25/12)</f>
        <v>-251145.37833333338</v>
      </c>
      <c r="E27" s="16">
        <f t="shared" si="22"/>
        <v>-376718.06750000006</v>
      </c>
      <c r="F27" s="16">
        <f t="shared" si="22"/>
        <v>-502290.75666666677</v>
      </c>
      <c r="G27" s="16">
        <f t="shared" si="22"/>
        <v>-627863.44583333342</v>
      </c>
      <c r="H27" s="16">
        <f t="shared" si="22"/>
        <v>-753436.13500000013</v>
      </c>
      <c r="I27" s="16">
        <f t="shared" si="22"/>
        <v>-879008.82416666683</v>
      </c>
      <c r="J27" s="16">
        <f t="shared" si="22"/>
        <v>-1004581.5133333335</v>
      </c>
      <c r="K27" s="16">
        <f t="shared" si="22"/>
        <v>-1130154.2025000001</v>
      </c>
      <c r="L27" s="16">
        <f t="shared" si="22"/>
        <v>-1255726.8916666668</v>
      </c>
      <c r="M27" s="16">
        <f t="shared" si="22"/>
        <v>-1381299.5808333335</v>
      </c>
    </row>
    <row r="28" spans="1:15" x14ac:dyDescent="0.2">
      <c r="A28" s="33" t="s">
        <v>59</v>
      </c>
      <c r="B28" s="16">
        <f t="shared" ref="B28:M28" si="23">B20+B26</f>
        <v>45085.459999999992</v>
      </c>
      <c r="C28" s="16">
        <f t="shared" si="23"/>
        <v>23048.97</v>
      </c>
      <c r="D28" s="16">
        <f t="shared" si="23"/>
        <v>-57078.159999999974</v>
      </c>
      <c r="E28" s="16">
        <f t="shared" si="23"/>
        <v>-570148.78</v>
      </c>
      <c r="F28" s="16">
        <f t="shared" si="23"/>
        <v>-673930.8600000001</v>
      </c>
      <c r="G28" s="16">
        <f t="shared" si="23"/>
        <v>-624256.99</v>
      </c>
      <c r="H28" s="16">
        <f t="shared" si="23"/>
        <v>-527040.61</v>
      </c>
      <c r="I28" s="16">
        <f t="shared" si="23"/>
        <v>-374793.89</v>
      </c>
      <c r="J28" s="16">
        <f t="shared" si="23"/>
        <v>-288680.03000000003</v>
      </c>
      <c r="K28" s="16">
        <f t="shared" si="23"/>
        <v>-668693.1399999999</v>
      </c>
      <c r="L28" s="16">
        <f t="shared" si="23"/>
        <v>-677633.0299999998</v>
      </c>
      <c r="M28" s="16">
        <f t="shared" si="23"/>
        <v>-505505.2799999998</v>
      </c>
    </row>
    <row r="29" spans="1:15" x14ac:dyDescent="0.2">
      <c r="A29" s="40" t="s">
        <v>67</v>
      </c>
      <c r="B29" s="29">
        <f>B17+B23</f>
        <v>-49094.31</v>
      </c>
      <c r="C29" s="29">
        <f>C17+C23</f>
        <v>-136133.54999999999</v>
      </c>
      <c r="D29" s="29">
        <f t="shared" ref="D29:I29" si="24">D17+D23</f>
        <v>-136133.54999999999</v>
      </c>
      <c r="E29" s="29">
        <f t="shared" si="24"/>
        <v>-136133.54999999999</v>
      </c>
      <c r="F29" s="29">
        <f t="shared" si="24"/>
        <v>-136133.54999999999</v>
      </c>
      <c r="G29" s="29">
        <f t="shared" si="24"/>
        <v>-136133.54999999999</v>
      </c>
      <c r="H29" s="29">
        <f t="shared" si="24"/>
        <v>-136133.54999999999</v>
      </c>
      <c r="I29" s="29">
        <f t="shared" si="24"/>
        <v>-136133.54999999999</v>
      </c>
      <c r="J29" s="29">
        <f>J17+J23</f>
        <v>-136133.54999999999</v>
      </c>
      <c r="K29" s="29">
        <f>K17+K23</f>
        <v>-136133.54999999999</v>
      </c>
      <c r="L29" s="29">
        <f>L17+L23</f>
        <v>-136133.54999999999</v>
      </c>
      <c r="M29" s="29">
        <f>M17+M23</f>
        <v>-136133.54999999999</v>
      </c>
    </row>
    <row r="30" spans="1:15" x14ac:dyDescent="0.2">
      <c r="A30" s="49" t="s">
        <v>28</v>
      </c>
      <c r="B30" s="16">
        <f t="shared" ref="B30:I30" si="25">B19+B25</f>
        <v>-94179.76999999999</v>
      </c>
      <c r="C30" s="16">
        <f t="shared" si="25"/>
        <v>-159182.51999999999</v>
      </c>
      <c r="D30" s="16">
        <f t="shared" si="25"/>
        <v>-79055.390000000014</v>
      </c>
      <c r="E30" s="16">
        <f t="shared" si="25"/>
        <v>434015.23</v>
      </c>
      <c r="F30" s="16">
        <f t="shared" si="25"/>
        <v>537797.31000000006</v>
      </c>
      <c r="G30" s="16">
        <f t="shared" si="25"/>
        <v>488123.43999999994</v>
      </c>
      <c r="H30" s="16">
        <f t="shared" si="25"/>
        <v>390907.05999999994</v>
      </c>
      <c r="I30" s="16">
        <f t="shared" si="25"/>
        <v>238660.33999999997</v>
      </c>
      <c r="J30" s="16">
        <f>J19+J25</f>
        <v>152546.47999999998</v>
      </c>
      <c r="K30" s="16">
        <f>K19+K25</f>
        <v>532559.58999999985</v>
      </c>
      <c r="L30" s="16">
        <f>L19+L25</f>
        <v>541499.47999999975</v>
      </c>
      <c r="M30" s="16">
        <f>M19+M25</f>
        <v>369371.72999999975</v>
      </c>
      <c r="N30" s="1"/>
    </row>
    <row r="31" spans="1:15" x14ac:dyDescent="0.2">
      <c r="A31" s="2"/>
      <c r="B31" s="1">
        <f>SUM(B35,B38,B41,B44,B47,B50)-B20</f>
        <v>-2.9558577807620168E-12</v>
      </c>
      <c r="C31" s="1">
        <f t="shared" ref="C31:J31" si="26">SUM(C35,C38,C41,C44,C47,C50)-C20</f>
        <v>0</v>
      </c>
      <c r="D31" s="1">
        <f t="shared" si="26"/>
        <v>0</v>
      </c>
      <c r="E31" s="1">
        <f t="shared" si="26"/>
        <v>0</v>
      </c>
      <c r="F31" s="1">
        <f t="shared" si="26"/>
        <v>0</v>
      </c>
      <c r="G31" s="1">
        <f t="shared" si="26"/>
        <v>0</v>
      </c>
      <c r="H31" s="1">
        <f t="shared" si="26"/>
        <v>0</v>
      </c>
      <c r="I31" s="1">
        <f t="shared" si="26"/>
        <v>0</v>
      </c>
      <c r="J31" s="1">
        <f t="shared" si="26"/>
        <v>0</v>
      </c>
      <c r="K31" s="1"/>
      <c r="L31" s="1"/>
      <c r="M31" s="1"/>
      <c r="N31" s="1"/>
    </row>
    <row r="32" spans="1:15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4151.95</v>
      </c>
      <c r="C33" s="29">
        <v>6432.43</v>
      </c>
      <c r="D33" s="37"/>
      <c r="E33" s="29"/>
      <c r="F33" s="29"/>
      <c r="G33" s="29"/>
      <c r="H33" s="29"/>
      <c r="I33" s="29"/>
      <c r="J33" s="29"/>
      <c r="K33" s="29"/>
      <c r="L33" s="29"/>
      <c r="M33" s="29"/>
      <c r="N33" s="54">
        <f>SUM(B33:M33)</f>
        <v>10584.380000000001</v>
      </c>
      <c r="O33" s="45" t="s">
        <v>90</v>
      </c>
      <c r="Q33" s="1">
        <f>N34-SUM(B33:I33)</f>
        <v>1580511.62</v>
      </c>
      <c r="R33" s="1">
        <f>N34-N33</f>
        <v>1580511.62</v>
      </c>
    </row>
    <row r="34" spans="1:18" x14ac:dyDescent="0.2">
      <c r="A34" s="11" t="s">
        <v>30</v>
      </c>
      <c r="B34" s="14">
        <v>7600</v>
      </c>
      <c r="C34" s="14">
        <v>13500</v>
      </c>
      <c r="D34" s="15">
        <v>175000</v>
      </c>
      <c r="E34" s="15">
        <v>575000</v>
      </c>
      <c r="F34" s="15">
        <v>127375</v>
      </c>
      <c r="G34" s="15">
        <v>22000</v>
      </c>
      <c r="H34" s="14">
        <v>7600</v>
      </c>
      <c r="I34" s="14">
        <v>10000</v>
      </c>
      <c r="J34" s="14">
        <v>30600</v>
      </c>
      <c r="K34" s="14">
        <v>500000</v>
      </c>
      <c r="L34" s="14">
        <v>115375</v>
      </c>
      <c r="M34" s="14">
        <v>7046</v>
      </c>
      <c r="N34" s="57">
        <f>SUM(B34:M34)</f>
        <v>1591096</v>
      </c>
      <c r="O34" s="1"/>
      <c r="Q34" s="1">
        <f>SUM(J34:M34)</f>
        <v>653021</v>
      </c>
    </row>
    <row r="35" spans="1:18" x14ac:dyDescent="0.2">
      <c r="A35" s="11" t="s">
        <v>40</v>
      </c>
      <c r="B35" s="14">
        <f>B33-B34</f>
        <v>-3448.05</v>
      </c>
      <c r="C35" s="14">
        <f>B35+(C33-C34)</f>
        <v>-10515.619999999999</v>
      </c>
      <c r="D35" s="14">
        <f>C35+(D33-D34)</f>
        <v>-185515.62</v>
      </c>
      <c r="E35" s="14">
        <f t="shared" ref="E35:M35" si="27">D35+(E33-E34)</f>
        <v>-760515.62</v>
      </c>
      <c r="F35" s="14">
        <f t="shared" si="27"/>
        <v>-887890.62</v>
      </c>
      <c r="G35" s="14">
        <f t="shared" si="27"/>
        <v>-909890.62</v>
      </c>
      <c r="H35" s="14">
        <f t="shared" si="27"/>
        <v>-917490.62</v>
      </c>
      <c r="I35" s="14">
        <f t="shared" si="27"/>
        <v>-927490.62</v>
      </c>
      <c r="J35" s="14">
        <f t="shared" si="27"/>
        <v>-958090.62</v>
      </c>
      <c r="K35" s="14">
        <f t="shared" si="27"/>
        <v>-1458090.62</v>
      </c>
      <c r="L35" s="14">
        <f t="shared" si="27"/>
        <v>-1573465.62</v>
      </c>
      <c r="M35" s="14">
        <f t="shared" si="27"/>
        <v>-1580511.62</v>
      </c>
    </row>
    <row r="36" spans="1:18" x14ac:dyDescent="0.2">
      <c r="A36" s="39" t="s">
        <v>35</v>
      </c>
      <c r="B36" s="29">
        <v>18339.2</v>
      </c>
      <c r="C36" s="29">
        <v>6491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4">
        <f>SUM(B36:M36)</f>
        <v>24830.2</v>
      </c>
      <c r="O36" s="46" t="s">
        <v>99</v>
      </c>
    </row>
    <row r="37" spans="1:18" x14ac:dyDescent="0.2">
      <c r="A37" s="12" t="s">
        <v>31</v>
      </c>
      <c r="B37" s="14">
        <v>13737</v>
      </c>
      <c r="C37" s="14">
        <v>5977</v>
      </c>
      <c r="D37" s="14">
        <v>5467</v>
      </c>
      <c r="E37" s="14">
        <f>32222+25</f>
        <v>32247</v>
      </c>
      <c r="F37" s="14">
        <v>59441</v>
      </c>
      <c r="G37" s="14">
        <v>24286</v>
      </c>
      <c r="H37" s="14">
        <v>11614</v>
      </c>
      <c r="I37" s="14">
        <v>7367</v>
      </c>
      <c r="J37" s="14">
        <v>7567</v>
      </c>
      <c r="K37" s="14">
        <v>11942</v>
      </c>
      <c r="L37" s="14">
        <v>10497</v>
      </c>
      <c r="M37" s="14">
        <v>7763</v>
      </c>
      <c r="N37" s="57">
        <f>SUM(B37:M37)</f>
        <v>197905</v>
      </c>
      <c r="O37" s="1"/>
      <c r="R37" s="1">
        <f>N37-N36</f>
        <v>173074.8</v>
      </c>
    </row>
    <row r="38" spans="1:18" x14ac:dyDescent="0.2">
      <c r="A38" s="12" t="s">
        <v>41</v>
      </c>
      <c r="B38" s="14">
        <f>+B36-B37</f>
        <v>4602.2000000000007</v>
      </c>
      <c r="C38" s="14">
        <f t="shared" ref="C38:M38" si="28">B38+(C36-C37)</f>
        <v>5116.2000000000007</v>
      </c>
      <c r="D38" s="14">
        <f t="shared" si="28"/>
        <v>-350.79999999999927</v>
      </c>
      <c r="E38" s="14">
        <f t="shared" si="28"/>
        <v>-32597.8</v>
      </c>
      <c r="F38" s="14">
        <f t="shared" si="28"/>
        <v>-92038.8</v>
      </c>
      <c r="G38" s="14">
        <f t="shared" si="28"/>
        <v>-116324.8</v>
      </c>
      <c r="H38" s="14">
        <f t="shared" si="28"/>
        <v>-127938.8</v>
      </c>
      <c r="I38" s="14">
        <f t="shared" si="28"/>
        <v>-135305.79999999999</v>
      </c>
      <c r="J38" s="14">
        <f t="shared" si="28"/>
        <v>-142872.79999999999</v>
      </c>
      <c r="K38" s="14">
        <f t="shared" si="28"/>
        <v>-154814.79999999999</v>
      </c>
      <c r="L38" s="14">
        <f t="shared" si="28"/>
        <v>-165311.79999999999</v>
      </c>
      <c r="M38" s="14">
        <f t="shared" si="28"/>
        <v>-173074.8</v>
      </c>
    </row>
    <row r="39" spans="1:18" x14ac:dyDescent="0.2">
      <c r="A39" s="39" t="s">
        <v>36</v>
      </c>
      <c r="B39" s="29">
        <v>400</v>
      </c>
      <c r="C39" s="29">
        <v>440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4">
        <f>SUM(B39:M39)</f>
        <v>840</v>
      </c>
      <c r="O39" s="46" t="s">
        <v>91</v>
      </c>
      <c r="Q39" s="1">
        <f>SUM(B39:I39)</f>
        <v>840</v>
      </c>
    </row>
    <row r="40" spans="1:18" x14ac:dyDescent="0.2">
      <c r="A40" s="12" t="s">
        <v>32</v>
      </c>
      <c r="B40" s="14">
        <v>300</v>
      </c>
      <c r="C40" s="14">
        <v>100</v>
      </c>
      <c r="D40" s="14">
        <v>500</v>
      </c>
      <c r="E40" s="14">
        <v>400</v>
      </c>
      <c r="F40" s="14">
        <v>850</v>
      </c>
      <c r="G40" s="14">
        <v>100</v>
      </c>
      <c r="H40" s="14">
        <v>1000</v>
      </c>
      <c r="I40" s="14">
        <v>200</v>
      </c>
      <c r="J40" s="14">
        <v>100</v>
      </c>
      <c r="K40" s="14">
        <v>100</v>
      </c>
      <c r="L40" s="14">
        <v>100</v>
      </c>
      <c r="M40" s="14">
        <v>0</v>
      </c>
      <c r="N40" s="57">
        <f>SUM(B40:M40)</f>
        <v>3750</v>
      </c>
      <c r="O40" s="1"/>
    </row>
    <row r="41" spans="1:18" x14ac:dyDescent="0.2">
      <c r="A41" s="12" t="s">
        <v>42</v>
      </c>
      <c r="B41" s="14">
        <f>B39-B40</f>
        <v>100</v>
      </c>
      <c r="C41" s="14">
        <f t="shared" ref="C41:M41" si="29">B41+(C39-C40)</f>
        <v>440</v>
      </c>
      <c r="D41" s="14">
        <f t="shared" si="29"/>
        <v>-60</v>
      </c>
      <c r="E41" s="14">
        <f t="shared" si="29"/>
        <v>-460</v>
      </c>
      <c r="F41" s="14">
        <f t="shared" si="29"/>
        <v>-1310</v>
      </c>
      <c r="G41" s="14">
        <f t="shared" si="29"/>
        <v>-1410</v>
      </c>
      <c r="H41" s="14">
        <f t="shared" si="29"/>
        <v>-2410</v>
      </c>
      <c r="I41" s="14">
        <f t="shared" si="29"/>
        <v>-2610</v>
      </c>
      <c r="J41" s="14">
        <f t="shared" si="29"/>
        <v>-2710</v>
      </c>
      <c r="K41" s="14">
        <f t="shared" si="29"/>
        <v>-2810</v>
      </c>
      <c r="L41" s="14">
        <f t="shared" si="29"/>
        <v>-2910</v>
      </c>
      <c r="M41" s="14">
        <f t="shared" si="29"/>
        <v>-2910</v>
      </c>
    </row>
    <row r="42" spans="1:18" x14ac:dyDescent="0.2">
      <c r="A42" s="39" t="s">
        <v>37</v>
      </c>
      <c r="B42" s="29">
        <v>31623</v>
      </c>
      <c r="C42" s="29"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4">
        <f>SUM(B42:M42)</f>
        <v>31623</v>
      </c>
      <c r="O42" s="47" t="s">
        <v>100</v>
      </c>
    </row>
    <row r="43" spans="1:18" x14ac:dyDescent="0.2">
      <c r="A43" s="12" t="s">
        <v>33</v>
      </c>
      <c r="B43" s="14">
        <f>20+31623</f>
        <v>31643</v>
      </c>
      <c r="C43" s="14">
        <v>30</v>
      </c>
      <c r="D43" s="14">
        <v>30</v>
      </c>
      <c r="E43" s="14">
        <v>30</v>
      </c>
      <c r="F43" s="14">
        <v>30</v>
      </c>
      <c r="G43" s="14">
        <v>30</v>
      </c>
      <c r="H43" s="14">
        <v>30</v>
      </c>
      <c r="I43" s="14">
        <v>30</v>
      </c>
      <c r="J43" s="14">
        <v>30</v>
      </c>
      <c r="K43" s="14">
        <v>30</v>
      </c>
      <c r="L43" s="14">
        <v>30</v>
      </c>
      <c r="M43" s="14">
        <v>30</v>
      </c>
      <c r="N43" s="57">
        <f>SUM(B43:M43)</f>
        <v>31973</v>
      </c>
    </row>
    <row r="44" spans="1:18" x14ac:dyDescent="0.2">
      <c r="A44" s="12" t="s">
        <v>43</v>
      </c>
      <c r="B44" s="14">
        <f>B42-B43</f>
        <v>-20</v>
      </c>
      <c r="C44" s="14">
        <f t="shared" ref="C44:M44" si="30">B44+(C42-C43)</f>
        <v>-50</v>
      </c>
      <c r="D44" s="14">
        <f t="shared" si="30"/>
        <v>-80</v>
      </c>
      <c r="E44" s="14">
        <f t="shared" si="30"/>
        <v>-110</v>
      </c>
      <c r="F44" s="14">
        <f t="shared" si="30"/>
        <v>-140</v>
      </c>
      <c r="G44" s="14">
        <f t="shared" si="30"/>
        <v>-170</v>
      </c>
      <c r="H44" s="14">
        <f t="shared" si="30"/>
        <v>-200</v>
      </c>
      <c r="I44" s="14">
        <f t="shared" si="30"/>
        <v>-230</v>
      </c>
      <c r="J44" s="14">
        <f t="shared" si="30"/>
        <v>-260</v>
      </c>
      <c r="K44" s="14">
        <f t="shared" si="30"/>
        <v>-290</v>
      </c>
      <c r="L44" s="14">
        <f t="shared" si="30"/>
        <v>-320</v>
      </c>
      <c r="M44" s="14">
        <f t="shared" si="30"/>
        <v>-350</v>
      </c>
    </row>
    <row r="45" spans="1:18" x14ac:dyDescent="0.2">
      <c r="A45" s="39" t="s">
        <v>38</v>
      </c>
      <c r="B45" s="29">
        <v>849.76</v>
      </c>
      <c r="C45" s="29">
        <f>293.39+452.21</f>
        <v>745.59999999999991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4">
        <f>SUM(B45:M45)</f>
        <v>1595.36</v>
      </c>
      <c r="O45" s="46" t="s">
        <v>77</v>
      </c>
    </row>
    <row r="46" spans="1:18" x14ac:dyDescent="0.2">
      <c r="A46" s="12" t="s">
        <v>34</v>
      </c>
      <c r="B46" s="14">
        <v>350</v>
      </c>
      <c r="C46" s="14">
        <v>350</v>
      </c>
      <c r="D46" s="14">
        <v>350</v>
      </c>
      <c r="E46" s="14">
        <v>350</v>
      </c>
      <c r="F46" s="14">
        <v>350</v>
      </c>
      <c r="G46" s="14">
        <v>350</v>
      </c>
      <c r="H46" s="14">
        <v>375</v>
      </c>
      <c r="I46" s="14">
        <v>375</v>
      </c>
      <c r="J46" s="14">
        <v>375</v>
      </c>
      <c r="K46" s="14">
        <v>375</v>
      </c>
      <c r="L46" s="14">
        <v>350</v>
      </c>
      <c r="M46" s="14">
        <v>350</v>
      </c>
      <c r="N46" s="57">
        <f>SUM(B46:M46)</f>
        <v>4300</v>
      </c>
      <c r="O46" s="1"/>
    </row>
    <row r="47" spans="1:18" x14ac:dyDescent="0.2">
      <c r="A47" s="12" t="s">
        <v>44</v>
      </c>
      <c r="B47" s="14">
        <f>B45-B46</f>
        <v>499.76</v>
      </c>
      <c r="C47" s="14">
        <f t="shared" ref="C47:M47" si="31">B47+(C45-C46)</f>
        <v>895.3599999999999</v>
      </c>
      <c r="D47" s="14">
        <f t="shared" si="31"/>
        <v>545.3599999999999</v>
      </c>
      <c r="E47" s="14">
        <f t="shared" si="31"/>
        <v>195.3599999999999</v>
      </c>
      <c r="F47" s="14">
        <f t="shared" si="31"/>
        <v>-154.6400000000001</v>
      </c>
      <c r="G47" s="14">
        <f t="shared" si="31"/>
        <v>-504.6400000000001</v>
      </c>
      <c r="H47" s="14">
        <f t="shared" si="31"/>
        <v>-879.6400000000001</v>
      </c>
      <c r="I47" s="14">
        <f t="shared" si="31"/>
        <v>-1254.6400000000001</v>
      </c>
      <c r="J47" s="14">
        <f t="shared" si="31"/>
        <v>-1629.64</v>
      </c>
      <c r="K47" s="14">
        <f t="shared" si="31"/>
        <v>-2004.64</v>
      </c>
      <c r="L47" s="14">
        <f t="shared" si="31"/>
        <v>-2354.6400000000003</v>
      </c>
      <c r="M47" s="14">
        <f t="shared" si="31"/>
        <v>-2704.6400000000003</v>
      </c>
    </row>
    <row r="48" spans="1:18" x14ac:dyDescent="0.2">
      <c r="A48" s="43" t="s">
        <v>78</v>
      </c>
      <c r="B48" s="29">
        <v>0</v>
      </c>
      <c r="C48" s="29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>
        <f>SUM(B48:M48)</f>
        <v>0</v>
      </c>
      <c r="P48" s="46" t="s">
        <v>1</v>
      </c>
      <c r="R48" s="46" t="s">
        <v>0</v>
      </c>
    </row>
    <row r="49" spans="1:18" x14ac:dyDescent="0.2">
      <c r="A49" s="48" t="s">
        <v>79</v>
      </c>
      <c r="B49" s="14">
        <v>0</v>
      </c>
      <c r="C49" s="14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v>47220</v>
      </c>
      <c r="N49" s="57">
        <f>SUM(B49:M49)</f>
        <v>47220</v>
      </c>
      <c r="O49" s="1"/>
      <c r="P49" s="1">
        <f>SUM(N33+N36+N39+N42+N45+N48)</f>
        <v>69472.94</v>
      </c>
      <c r="Q49" s="46" t="s">
        <v>96</v>
      </c>
      <c r="R49" s="1">
        <f>SUM(N34+N37+N40+N43+N46+N49)</f>
        <v>1876244</v>
      </c>
    </row>
    <row r="50" spans="1:18" x14ac:dyDescent="0.2">
      <c r="A50" s="13" t="s">
        <v>80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ref="J50:M50" si="32">I50+(J48-J49)</f>
        <v>0</v>
      </c>
      <c r="K50" s="14">
        <f t="shared" si="32"/>
        <v>0</v>
      </c>
      <c r="L50" s="14">
        <f t="shared" si="32"/>
        <v>0</v>
      </c>
      <c r="M50" s="14">
        <f t="shared" si="32"/>
        <v>-47220</v>
      </c>
      <c r="P50" s="1">
        <f>SUM(N53,N56,N59,N62,N65,N68,N71)</f>
        <v>205606.49</v>
      </c>
      <c r="Q50" s="46" t="s">
        <v>97</v>
      </c>
      <c r="R50" s="55">
        <f>SUM(N54+N57+N60+N63+N66+N69+N72)</f>
        <v>1506872.27</v>
      </c>
    </row>
    <row r="51" spans="1:18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P49-P50</f>
        <v>-136133.54999999999</v>
      </c>
      <c r="R51" s="1">
        <f>R49-R50</f>
        <v>369371.73</v>
      </c>
    </row>
    <row r="52" spans="1:18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8" x14ac:dyDescent="0.2">
      <c r="A53" s="41" t="s">
        <v>46</v>
      </c>
      <c r="B53" s="29">
        <v>35739.410000000003</v>
      </c>
      <c r="C53" s="29">
        <v>57507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54">
        <f>SUM(B53:M53)</f>
        <v>93246.41</v>
      </c>
      <c r="O53" s="46" t="s">
        <v>81</v>
      </c>
      <c r="R53" s="1">
        <f>R51-P51</f>
        <v>505505.27999999997</v>
      </c>
    </row>
    <row r="54" spans="1:18" ht="15" x14ac:dyDescent="0.25">
      <c r="A54" s="22" t="s">
        <v>50</v>
      </c>
      <c r="B54" s="23">
        <f>225+225+100+42297.37+31623</f>
        <v>74470.37</v>
      </c>
      <c r="C54" s="23">
        <v>38921.47</v>
      </c>
      <c r="D54" s="23">
        <v>38726.47</v>
      </c>
      <c r="E54" s="23">
        <v>54336.47</v>
      </c>
      <c r="F54" s="23">
        <v>39450.67</v>
      </c>
      <c r="G54" s="23">
        <v>39587.47</v>
      </c>
      <c r="H54" s="23">
        <v>46777.47</v>
      </c>
      <c r="I54" s="23">
        <v>74382.47</v>
      </c>
      <c r="J54" s="23">
        <v>53592.47</v>
      </c>
      <c r="K54" s="23">
        <v>45395.97</v>
      </c>
      <c r="L54" s="23">
        <v>39032.870000000003</v>
      </c>
      <c r="M54" s="23">
        <v>95269.83</v>
      </c>
      <c r="N54" s="58">
        <f>SUM(B54:M54)</f>
        <v>639943.99999999988</v>
      </c>
      <c r="O54" s="45" t="s">
        <v>101</v>
      </c>
    </row>
    <row r="55" spans="1:18" x14ac:dyDescent="0.2">
      <c r="A55" s="22" t="s">
        <v>53</v>
      </c>
      <c r="B55" s="23">
        <f>B54-B53</f>
        <v>38730.959999999992</v>
      </c>
      <c r="C55" s="23">
        <f>B55+(C54-C53)</f>
        <v>20145.429999999993</v>
      </c>
      <c r="D55" s="23">
        <f t="shared" ref="D55:M55" si="33">C55+(D54-D53)</f>
        <v>58871.899999999994</v>
      </c>
      <c r="E55" s="23">
        <f t="shared" si="33"/>
        <v>113208.37</v>
      </c>
      <c r="F55" s="23">
        <f t="shared" si="33"/>
        <v>152659.03999999998</v>
      </c>
      <c r="G55" s="23">
        <f t="shared" si="33"/>
        <v>192246.50999999998</v>
      </c>
      <c r="H55" s="23">
        <f t="shared" si="33"/>
        <v>239023.97999999998</v>
      </c>
      <c r="I55" s="23">
        <f t="shared" si="33"/>
        <v>313406.44999999995</v>
      </c>
      <c r="J55" s="23">
        <f t="shared" si="33"/>
        <v>366998.91999999993</v>
      </c>
      <c r="K55" s="23">
        <f t="shared" si="33"/>
        <v>412394.8899999999</v>
      </c>
      <c r="L55" s="23">
        <f t="shared" si="33"/>
        <v>451427.75999999989</v>
      </c>
      <c r="M55" s="23">
        <f t="shared" si="33"/>
        <v>546697.58999999985</v>
      </c>
      <c r="N55" s="1"/>
    </row>
    <row r="56" spans="1:18" x14ac:dyDescent="0.2">
      <c r="A56" s="39" t="s">
        <v>47</v>
      </c>
      <c r="B56" s="29">
        <v>26812.34</v>
      </c>
      <c r="C56" s="29">
        <v>27627.31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4">
        <f>SUM(B56:M56)</f>
        <v>54439.65</v>
      </c>
      <c r="O56" s="45" t="s">
        <v>92</v>
      </c>
    </row>
    <row r="57" spans="1:18" x14ac:dyDescent="0.2">
      <c r="A57" s="24" t="s">
        <v>51</v>
      </c>
      <c r="B57" s="23">
        <v>31230</v>
      </c>
      <c r="C57" s="23">
        <v>28177</v>
      </c>
      <c r="D57" s="23">
        <v>30028</v>
      </c>
      <c r="E57" s="23">
        <v>33259</v>
      </c>
      <c r="F57" s="23">
        <v>30106</v>
      </c>
      <c r="G57" s="23">
        <v>29205</v>
      </c>
      <c r="H57" s="23">
        <v>29306</v>
      </c>
      <c r="I57" s="23">
        <v>33755</v>
      </c>
      <c r="J57" s="23">
        <v>35406</v>
      </c>
      <c r="K57" s="23">
        <v>40212</v>
      </c>
      <c r="L57" s="23">
        <v>38902</v>
      </c>
      <c r="M57" s="23">
        <v>53055</v>
      </c>
      <c r="N57" s="57">
        <f>SUM(B57:M57)</f>
        <v>412641</v>
      </c>
    </row>
    <row r="58" spans="1:18" x14ac:dyDescent="0.2">
      <c r="A58" s="24" t="s">
        <v>54</v>
      </c>
      <c r="B58" s="23">
        <f>B57-B56</f>
        <v>4417.66</v>
      </c>
      <c r="C58" s="23">
        <f>B58+(C57-C56)</f>
        <v>4967.3499999999985</v>
      </c>
      <c r="D58" s="23">
        <f t="shared" ref="C58:M58" si="34">C58+(D57-D56)</f>
        <v>34995.35</v>
      </c>
      <c r="E58" s="23">
        <f t="shared" si="34"/>
        <v>68254.350000000006</v>
      </c>
      <c r="F58" s="23">
        <f t="shared" si="34"/>
        <v>98360.35</v>
      </c>
      <c r="G58" s="23">
        <f t="shared" si="34"/>
        <v>127565.35</v>
      </c>
      <c r="H58" s="23">
        <f t="shared" si="34"/>
        <v>156871.35</v>
      </c>
      <c r="I58" s="23">
        <f t="shared" si="34"/>
        <v>190626.35</v>
      </c>
      <c r="J58" s="23">
        <f t="shared" si="34"/>
        <v>226032.35</v>
      </c>
      <c r="K58" s="23">
        <f t="shared" si="34"/>
        <v>266244.34999999998</v>
      </c>
      <c r="L58" s="23">
        <f t="shared" si="34"/>
        <v>305146.34999999998</v>
      </c>
      <c r="M58" s="23">
        <f t="shared" si="34"/>
        <v>358201.35</v>
      </c>
    </row>
    <row r="59" spans="1:18" x14ac:dyDescent="0.2">
      <c r="A59" s="39" t="s">
        <v>48</v>
      </c>
      <c r="B59" s="29">
        <v>6787.99</v>
      </c>
      <c r="C59" s="29">
        <v>9898.6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54">
        <f>SUM(B59:M59)</f>
        <v>16686.59</v>
      </c>
      <c r="O59" s="45" t="s">
        <v>93</v>
      </c>
    </row>
    <row r="60" spans="1:18" x14ac:dyDescent="0.2">
      <c r="A60" s="24" t="s">
        <v>31</v>
      </c>
      <c r="B60" s="23">
        <v>6990.92</v>
      </c>
      <c r="C60" s="23">
        <v>11745.92</v>
      </c>
      <c r="D60" s="23">
        <v>10690.92</v>
      </c>
      <c r="E60" s="23">
        <v>7360.91</v>
      </c>
      <c r="F60" s="23">
        <v>9991.92</v>
      </c>
      <c r="G60" s="23">
        <v>24151.919999999998</v>
      </c>
      <c r="H60" s="23">
        <v>41751.910000000003</v>
      </c>
      <c r="I60" s="23">
        <v>57365.919999999998</v>
      </c>
      <c r="J60" s="23">
        <v>8541.91</v>
      </c>
      <c r="K60" s="23">
        <v>8296.92</v>
      </c>
      <c r="L60" s="23">
        <v>11011.91</v>
      </c>
      <c r="M60" s="23">
        <v>15241.92</v>
      </c>
      <c r="N60" s="57">
        <f>SUM(B60:M60)</f>
        <v>213143.00000000003</v>
      </c>
    </row>
    <row r="61" spans="1:18" x14ac:dyDescent="0.2">
      <c r="A61" s="24" t="s">
        <v>41</v>
      </c>
      <c r="B61" s="23">
        <f>B60-B59</f>
        <v>202.93000000000029</v>
      </c>
      <c r="C61" s="23">
        <f t="shared" ref="C61:M61" si="35">B61+(C60-C59)</f>
        <v>2050.25</v>
      </c>
      <c r="D61" s="23">
        <f t="shared" si="35"/>
        <v>12741.17</v>
      </c>
      <c r="E61" s="23">
        <f t="shared" si="35"/>
        <v>20102.080000000002</v>
      </c>
      <c r="F61" s="23">
        <f t="shared" si="35"/>
        <v>30094</v>
      </c>
      <c r="G61" s="23">
        <f t="shared" si="35"/>
        <v>54245.919999999998</v>
      </c>
      <c r="H61" s="23">
        <f t="shared" si="35"/>
        <v>95997.83</v>
      </c>
      <c r="I61" s="23">
        <f t="shared" si="35"/>
        <v>153363.75</v>
      </c>
      <c r="J61" s="23">
        <f t="shared" si="35"/>
        <v>161905.66</v>
      </c>
      <c r="K61" s="23">
        <f t="shared" si="35"/>
        <v>170202.58000000002</v>
      </c>
      <c r="L61" s="23">
        <f t="shared" si="35"/>
        <v>181214.49000000002</v>
      </c>
      <c r="M61" s="23">
        <f t="shared" si="35"/>
        <v>196456.41000000003</v>
      </c>
    </row>
    <row r="62" spans="1:18" x14ac:dyDescent="0.2">
      <c r="A62" s="43" t="s">
        <v>104</v>
      </c>
      <c r="B62" s="29">
        <v>31623</v>
      </c>
      <c r="C62" s="29"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54">
        <f>SUM(B62:M62)</f>
        <v>31623</v>
      </c>
      <c r="O62" s="45" t="s">
        <v>102</v>
      </c>
    </row>
    <row r="63" spans="1:18" x14ac:dyDescent="0.2">
      <c r="A63" s="44" t="s">
        <v>33</v>
      </c>
      <c r="B63" s="23">
        <v>31623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57">
        <f>SUM(B63:M63)</f>
        <v>31623</v>
      </c>
    </row>
    <row r="64" spans="1:18" x14ac:dyDescent="0.2">
      <c r="A64" s="44" t="s">
        <v>103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6" x14ac:dyDescent="0.2">
      <c r="A65" s="39" t="s">
        <v>49</v>
      </c>
      <c r="B65" s="29">
        <v>0</v>
      </c>
      <c r="C65" s="29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54">
        <f>SUM(B65:M65)</f>
        <v>0</v>
      </c>
      <c r="O65" s="56" t="s">
        <v>98</v>
      </c>
      <c r="P65" s="46" t="s">
        <v>95</v>
      </c>
    </row>
    <row r="66" spans="1:16" x14ac:dyDescent="0.2">
      <c r="A66" s="24" t="s">
        <v>52</v>
      </c>
      <c r="B66" s="23">
        <v>0</v>
      </c>
      <c r="C66" s="23">
        <v>0</v>
      </c>
      <c r="D66" s="23">
        <v>3500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23750</v>
      </c>
      <c r="K66" s="23">
        <v>23750</v>
      </c>
      <c r="L66" s="23">
        <v>23750</v>
      </c>
      <c r="M66" s="23">
        <v>23750</v>
      </c>
      <c r="N66" s="57">
        <f>SUM(B66:M66)</f>
        <v>98500</v>
      </c>
      <c r="O66" s="1"/>
      <c r="P66" s="1"/>
    </row>
    <row r="67" spans="1:16" x14ac:dyDescent="0.2">
      <c r="A67" s="24" t="s">
        <v>55</v>
      </c>
      <c r="B67" s="23">
        <f>B66-B65</f>
        <v>0</v>
      </c>
      <c r="C67" s="23">
        <f>B67+(C66-C65)</f>
        <v>0</v>
      </c>
      <c r="D67" s="23">
        <f t="shared" ref="D67:M67" si="36">C67+(D66-D65)</f>
        <v>3500</v>
      </c>
      <c r="E67" s="23">
        <f t="shared" si="36"/>
        <v>3500</v>
      </c>
      <c r="F67" s="23">
        <f t="shared" si="36"/>
        <v>3500</v>
      </c>
      <c r="G67" s="23">
        <f t="shared" si="36"/>
        <v>3500</v>
      </c>
      <c r="H67" s="23">
        <f t="shared" si="36"/>
        <v>3500</v>
      </c>
      <c r="I67" s="23">
        <f t="shared" si="36"/>
        <v>3500</v>
      </c>
      <c r="J67" s="23">
        <f t="shared" si="36"/>
        <v>27250</v>
      </c>
      <c r="K67" s="23">
        <f t="shared" si="36"/>
        <v>51000</v>
      </c>
      <c r="L67" s="23">
        <f t="shared" si="36"/>
        <v>74750</v>
      </c>
      <c r="M67" s="23">
        <f t="shared" si="36"/>
        <v>98500</v>
      </c>
    </row>
    <row r="68" spans="1:16" x14ac:dyDescent="0.2">
      <c r="A68" s="43" t="s">
        <v>78</v>
      </c>
      <c r="B68" s="29">
        <v>0</v>
      </c>
      <c r="C68" s="29">
        <v>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54">
        <f>SUM(B68:M68)</f>
        <v>0</v>
      </c>
    </row>
    <row r="69" spans="1:16" x14ac:dyDescent="0.2">
      <c r="A69" s="44" t="s">
        <v>79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47220</v>
      </c>
      <c r="N69" s="57">
        <f>SUM(B69:M69)</f>
        <v>47220</v>
      </c>
      <c r="O69" s="1"/>
    </row>
    <row r="70" spans="1:16" x14ac:dyDescent="0.2">
      <c r="A70" s="44" t="s">
        <v>80</v>
      </c>
      <c r="B70" s="23">
        <f>B69-B68</f>
        <v>0</v>
      </c>
      <c r="C70" s="23">
        <f t="shared" ref="C70:M70" si="37">B70+(C69-C68)</f>
        <v>0</v>
      </c>
      <c r="D70" s="23">
        <f t="shared" si="37"/>
        <v>0</v>
      </c>
      <c r="E70" s="23">
        <f t="shared" si="37"/>
        <v>0</v>
      </c>
      <c r="F70" s="23">
        <f t="shared" si="37"/>
        <v>0</v>
      </c>
      <c r="G70" s="23">
        <f t="shared" si="37"/>
        <v>0</v>
      </c>
      <c r="H70" s="23">
        <f t="shared" si="37"/>
        <v>0</v>
      </c>
      <c r="I70" s="23">
        <f t="shared" si="37"/>
        <v>0</v>
      </c>
      <c r="J70" s="23">
        <f t="shared" si="37"/>
        <v>0</v>
      </c>
      <c r="K70" s="23">
        <f t="shared" si="37"/>
        <v>0</v>
      </c>
      <c r="L70" s="23">
        <f t="shared" si="37"/>
        <v>0</v>
      </c>
      <c r="M70" s="23">
        <f t="shared" si="37"/>
        <v>47220</v>
      </c>
    </row>
    <row r="71" spans="1:16" x14ac:dyDescent="0.2">
      <c r="A71" s="39" t="s">
        <v>73</v>
      </c>
      <c r="B71" s="29">
        <v>3495.48</v>
      </c>
      <c r="C71" s="29">
        <v>6115.36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54">
        <f>SUM(B71:M71)</f>
        <v>9610.84</v>
      </c>
      <c r="O71" s="46" t="s">
        <v>94</v>
      </c>
    </row>
    <row r="72" spans="1:16" x14ac:dyDescent="0.2">
      <c r="A72" s="24" t="s">
        <v>88</v>
      </c>
      <c r="B72" s="23">
        <v>3495.48</v>
      </c>
      <c r="C72" s="23">
        <v>6115.36</v>
      </c>
      <c r="D72" s="23">
        <f>14779+3495.48</f>
        <v>18274.48</v>
      </c>
      <c r="E72" s="23">
        <v>0</v>
      </c>
      <c r="F72" s="23">
        <v>4715.33</v>
      </c>
      <c r="G72" s="23">
        <v>3495.48</v>
      </c>
      <c r="H72" s="23"/>
      <c r="I72" s="23">
        <v>4715.33</v>
      </c>
      <c r="J72" s="23">
        <v>3495.48</v>
      </c>
      <c r="K72" s="23">
        <v>14779</v>
      </c>
      <c r="L72" s="23">
        <v>4715.33</v>
      </c>
      <c r="M72" s="23">
        <v>0</v>
      </c>
      <c r="N72" s="1">
        <f>SUM(B72:M72)</f>
        <v>63801.270000000011</v>
      </c>
      <c r="O72" t="s">
        <v>82</v>
      </c>
    </row>
    <row r="73" spans="1:16" x14ac:dyDescent="0.2">
      <c r="A73" s="22" t="s">
        <v>89</v>
      </c>
      <c r="B73" s="23">
        <f>B72-B71</f>
        <v>0</v>
      </c>
      <c r="C73" s="23">
        <f t="shared" ref="C73:M73" si="38">B73+(C72-C71)</f>
        <v>0</v>
      </c>
      <c r="D73" s="23">
        <f t="shared" si="38"/>
        <v>18274.48</v>
      </c>
      <c r="E73" s="23">
        <f t="shared" si="38"/>
        <v>18274.48</v>
      </c>
      <c r="F73" s="23">
        <f t="shared" si="38"/>
        <v>22989.809999999998</v>
      </c>
      <c r="G73" s="23">
        <f t="shared" si="38"/>
        <v>26485.289999999997</v>
      </c>
      <c r="H73" s="23">
        <f t="shared" si="38"/>
        <v>26485.289999999997</v>
      </c>
      <c r="I73" s="23">
        <f t="shared" si="38"/>
        <v>31200.619999999995</v>
      </c>
      <c r="J73" s="23">
        <f t="shared" si="38"/>
        <v>34696.1</v>
      </c>
      <c r="K73" s="23">
        <f t="shared" si="38"/>
        <v>49475.1</v>
      </c>
      <c r="L73" s="23">
        <f t="shared" si="38"/>
        <v>54190.43</v>
      </c>
      <c r="M73" s="23">
        <f t="shared" si="38"/>
        <v>54190.43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308673.80000000005</v>
      </c>
      <c r="C76" s="30">
        <v>220356.05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O76" s="46" t="s">
        <v>85</v>
      </c>
    </row>
    <row r="77" spans="1:16" x14ac:dyDescent="0.2">
      <c r="A77" s="27" t="s">
        <v>3</v>
      </c>
      <c r="B77" s="30">
        <v>374872.43</v>
      </c>
      <c r="C77" s="30">
        <v>375324.64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O77" s="46" t="s">
        <v>83</v>
      </c>
    </row>
    <row r="78" spans="1:16" x14ac:dyDescent="0.2">
      <c r="A78" s="27" t="s">
        <v>72</v>
      </c>
      <c r="B78" s="28">
        <v>377894</v>
      </c>
      <c r="C78" s="28">
        <v>377894</v>
      </c>
      <c r="D78" s="28">
        <v>377894</v>
      </c>
      <c r="E78" s="28">
        <v>377894</v>
      </c>
      <c r="F78" s="28">
        <v>377894</v>
      </c>
      <c r="G78" s="28">
        <v>377894</v>
      </c>
      <c r="H78" s="28">
        <v>377894</v>
      </c>
      <c r="I78" s="28">
        <v>377894</v>
      </c>
      <c r="J78" s="28">
        <v>377894</v>
      </c>
      <c r="K78" s="28">
        <v>377894</v>
      </c>
      <c r="L78" s="28">
        <v>377894</v>
      </c>
      <c r="M78" s="28">
        <v>377894</v>
      </c>
    </row>
    <row r="79" spans="1:16" x14ac:dyDescent="0.2">
      <c r="A79" s="42" t="s">
        <v>76</v>
      </c>
      <c r="B79" s="30">
        <v>64192.770000000004</v>
      </c>
      <c r="C79" s="30">
        <v>64252.14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6" x14ac:dyDescent="0.2">
      <c r="A80" s="42" t="s">
        <v>74</v>
      </c>
      <c r="B80" s="31">
        <v>194835.24</v>
      </c>
      <c r="C80" s="31">
        <v>191904.36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6" x14ac:dyDescent="0.2">
      <c r="A81" s="42" t="s">
        <v>75</v>
      </c>
      <c r="B81" s="31">
        <v>41072.949999999997</v>
      </c>
      <c r="C81" s="31">
        <v>41905.1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6" x14ac:dyDescent="0.2">
      <c r="A82" s="27" t="s">
        <v>2</v>
      </c>
      <c r="B82" s="28">
        <f>SUM(B76:B81)-B78</f>
        <v>983647.19</v>
      </c>
      <c r="C82" s="28">
        <f t="shared" ref="C82:M82" si="39">SUM(C76:C81)-C78</f>
        <v>893742.29</v>
      </c>
      <c r="D82" s="28">
        <f t="shared" si="39"/>
        <v>0</v>
      </c>
      <c r="E82" s="28">
        <f t="shared" si="39"/>
        <v>0</v>
      </c>
      <c r="F82" s="28">
        <f t="shared" si="39"/>
        <v>0</v>
      </c>
      <c r="G82" s="28">
        <f t="shared" si="39"/>
        <v>0</v>
      </c>
      <c r="H82" s="28">
        <f t="shared" si="39"/>
        <v>0</v>
      </c>
      <c r="I82" s="28">
        <f t="shared" si="39"/>
        <v>0</v>
      </c>
      <c r="J82" s="28">
        <f t="shared" si="39"/>
        <v>0</v>
      </c>
      <c r="K82" s="28">
        <f t="shared" si="39"/>
        <v>0</v>
      </c>
      <c r="L82" s="28">
        <f t="shared" si="39"/>
        <v>0</v>
      </c>
      <c r="M82" s="28">
        <f t="shared" si="39"/>
        <v>0</v>
      </c>
    </row>
    <row r="83" spans="1:16" x14ac:dyDescent="0.2">
      <c r="A83" s="27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0</v>
      </c>
    </row>
    <row r="85" spans="1:16" x14ac:dyDescent="0.2">
      <c r="H85" s="32"/>
      <c r="I85" s="51"/>
      <c r="O85" s="1"/>
    </row>
    <row r="86" spans="1:16" x14ac:dyDescent="0.2">
      <c r="H86" s="32"/>
      <c r="O86" s="52"/>
      <c r="P86" s="46"/>
    </row>
    <row r="88" spans="1:16" x14ac:dyDescent="0.2">
      <c r="L88" t="s">
        <v>95</v>
      </c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(SUMMARIZED)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3C056F-AD6A-4885-AF52-87C566DED2F9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0217175-477c-4f8e-a71e-742f4080fdd3"/>
    <ds:schemaRef ds:uri="http://purl.org/dc/elements/1.1/"/>
    <ds:schemaRef ds:uri="http://purl.org/dc/terms/"/>
    <ds:schemaRef ds:uri="http://www.w3.org/XML/1998/namespace"/>
    <ds:schemaRef ds:uri="da629125-76a3-4e03-aeb6-5c2f28631ff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TreasurerQuad</vt:lpstr>
      <vt:lpstr>Overall</vt:lpstr>
      <vt:lpstr>Revenue</vt:lpstr>
      <vt:lpstr>Expense</vt:lpstr>
      <vt:lpstr>Fund Balances</vt:lpstr>
      <vt:lpstr>ChartData (2023)</vt:lpstr>
      <vt:lpstr>'ChartData (2023)'!Print_Area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2023-03-14T02:36:28Z</cp:lastPrinted>
  <dcterms:created xsi:type="dcterms:W3CDTF">2007-02-13T00:23:24Z</dcterms:created>
  <dcterms:modified xsi:type="dcterms:W3CDTF">2023-03-14T02:37:49Z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